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u1\Downloads\"/>
    </mc:Choice>
  </mc:AlternateContent>
  <xr:revisionPtr revIDLastSave="0" documentId="13_ncr:1_{52B56B92-DF9D-4438-BBD1-988DC777DC05}" xr6:coauthVersionLast="45" xr6:coauthVersionMax="45" xr10:uidLastSave="{00000000-0000-0000-0000-000000000000}"/>
  <bookViews>
    <workbookView xWindow="7335" yWindow="5865" windowWidth="28455" windowHeight="15105" activeTab="2" xr2:uid="{98A22CD5-C0AB-4204-A3B8-90C91799B00B}"/>
  </bookViews>
  <sheets>
    <sheet name="2.5.4 a" sheetId="2" r:id="rId1"/>
    <sheet name="2.5.4 b" sheetId="1" r:id="rId2"/>
    <sheet name="2.5.4 c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3" l="1"/>
  <c r="F9" i="3"/>
  <c r="F10" i="3"/>
  <c r="F11" i="3"/>
  <c r="F12" i="3"/>
  <c r="F13" i="3"/>
  <c r="F14" i="3"/>
  <c r="F15" i="3"/>
  <c r="F16" i="3"/>
  <c r="F7" i="3"/>
  <c r="H7" i="2" l="1"/>
  <c r="G7" i="2"/>
  <c r="F9" i="2"/>
  <c r="E9" i="2"/>
  <c r="K97" i="1"/>
  <c r="K96" i="1"/>
  <c r="K95" i="1"/>
  <c r="K94" i="1"/>
  <c r="H97" i="1"/>
  <c r="H96" i="1"/>
  <c r="H95" i="1"/>
  <c r="H94" i="1"/>
  <c r="E96" i="1"/>
  <c r="E95" i="1"/>
  <c r="F95" i="1" s="1"/>
  <c r="F14" i="1" s="1"/>
  <c r="E94" i="1"/>
  <c r="D97" i="1"/>
  <c r="G97" i="1" s="1"/>
  <c r="I97" i="1" s="1"/>
  <c r="N14" i="1" s="1"/>
  <c r="D96" i="1"/>
  <c r="G96" i="1" s="1"/>
  <c r="D95" i="1"/>
  <c r="G95" i="1" s="1"/>
  <c r="I95" i="1" s="1"/>
  <c r="L14" i="1" s="1"/>
  <c r="D94" i="1"/>
  <c r="D92" i="1"/>
  <c r="G92" i="1" s="1"/>
  <c r="I92" i="1" s="1"/>
  <c r="G94" i="1"/>
  <c r="G93" i="1"/>
  <c r="I93" i="1" s="1"/>
  <c r="F93" i="1"/>
  <c r="D86" i="1"/>
  <c r="G86" i="1" s="1"/>
  <c r="I86" i="1" s="1"/>
  <c r="L13" i="1" s="1"/>
  <c r="D85" i="1"/>
  <c r="J85" i="1" s="1"/>
  <c r="L85" i="1" s="1"/>
  <c r="Q13" i="1" s="1"/>
  <c r="D84" i="1"/>
  <c r="J84" i="1" s="1"/>
  <c r="L84" i="1" s="1"/>
  <c r="P13" i="1" s="1"/>
  <c r="D83" i="1"/>
  <c r="G83" i="1" s="1"/>
  <c r="I83" i="1" s="1"/>
  <c r="I13" i="1" s="1"/>
  <c r="G88" i="1"/>
  <c r="I88" i="1" s="1"/>
  <c r="F88" i="1"/>
  <c r="L87" i="1"/>
  <c r="G87" i="1"/>
  <c r="I87" i="1" s="1"/>
  <c r="F87" i="1"/>
  <c r="F86" i="1"/>
  <c r="F13" i="1" s="1"/>
  <c r="F85" i="1"/>
  <c r="E13" i="1" s="1"/>
  <c r="F84" i="1"/>
  <c r="D13" i="1" s="1"/>
  <c r="G79" i="1"/>
  <c r="F79" i="1"/>
  <c r="I78" i="1"/>
  <c r="G78" i="1"/>
  <c r="F78" i="1"/>
  <c r="J77" i="1"/>
  <c r="L77" i="1" s="1"/>
  <c r="R12" i="1" s="1"/>
  <c r="G77" i="1"/>
  <c r="I77" i="1" s="1"/>
  <c r="L12" i="1" s="1"/>
  <c r="F77" i="1"/>
  <c r="F12" i="1" s="1"/>
  <c r="J76" i="1"/>
  <c r="L76" i="1" s="1"/>
  <c r="Q12" i="1" s="1"/>
  <c r="G76" i="1"/>
  <c r="I76" i="1" s="1"/>
  <c r="K12" i="1" s="1"/>
  <c r="F76" i="1"/>
  <c r="E12" i="1" s="1"/>
  <c r="J75" i="1"/>
  <c r="L75" i="1" s="1"/>
  <c r="P12" i="1" s="1"/>
  <c r="G75" i="1"/>
  <c r="I75" i="1" s="1"/>
  <c r="J12" i="1" s="1"/>
  <c r="F75" i="1"/>
  <c r="D12" i="1" s="1"/>
  <c r="J74" i="1"/>
  <c r="L74" i="1" s="1"/>
  <c r="O12" i="1" s="1"/>
  <c r="G74" i="1"/>
  <c r="I74" i="1" s="1"/>
  <c r="I12" i="1" s="1"/>
  <c r="F74" i="1"/>
  <c r="C12" i="1" s="1"/>
  <c r="J70" i="1"/>
  <c r="G70" i="1"/>
  <c r="I70" i="1" s="1"/>
  <c r="F70" i="1"/>
  <c r="J69" i="1"/>
  <c r="G69" i="1"/>
  <c r="F69" i="1"/>
  <c r="G68" i="1"/>
  <c r="I68" i="1" s="1"/>
  <c r="L11" i="1" s="1"/>
  <c r="F68" i="1"/>
  <c r="F11" i="1" s="1"/>
  <c r="J68" i="1"/>
  <c r="F67" i="1"/>
  <c r="E11" i="1" s="1"/>
  <c r="G67" i="1"/>
  <c r="I67" i="1" s="1"/>
  <c r="K11" i="1" s="1"/>
  <c r="L66" i="1"/>
  <c r="P11" i="1" s="1"/>
  <c r="J66" i="1"/>
  <c r="G66" i="1"/>
  <c r="I66" i="1" s="1"/>
  <c r="J11" i="1" s="1"/>
  <c r="F66" i="1"/>
  <c r="D11" i="1" s="1"/>
  <c r="J65" i="1"/>
  <c r="L65" i="1" s="1"/>
  <c r="O11" i="1" s="1"/>
  <c r="G65" i="1"/>
  <c r="I65" i="1" s="1"/>
  <c r="I11" i="1" s="1"/>
  <c r="F65" i="1"/>
  <c r="C11" i="1" s="1"/>
  <c r="K61" i="1"/>
  <c r="K60" i="1"/>
  <c r="K59" i="1"/>
  <c r="K58" i="1"/>
  <c r="K57" i="1"/>
  <c r="K56" i="1"/>
  <c r="H61" i="1"/>
  <c r="H60" i="1"/>
  <c r="H59" i="1"/>
  <c r="H58" i="1"/>
  <c r="H57" i="1"/>
  <c r="H56" i="1"/>
  <c r="E61" i="1"/>
  <c r="E60" i="1"/>
  <c r="E59" i="1"/>
  <c r="E58" i="1"/>
  <c r="E57" i="1"/>
  <c r="E56" i="1"/>
  <c r="D61" i="1"/>
  <c r="D60" i="1"/>
  <c r="G60" i="1" s="1"/>
  <c r="D59" i="1"/>
  <c r="G59" i="1" s="1"/>
  <c r="D58" i="1"/>
  <c r="G58" i="1" s="1"/>
  <c r="I58" i="1" s="1"/>
  <c r="K10" i="1" s="1"/>
  <c r="D57" i="1"/>
  <c r="G57" i="1" s="1"/>
  <c r="I57" i="1" s="1"/>
  <c r="J10" i="1" s="1"/>
  <c r="D56" i="1"/>
  <c r="G56" i="1" s="1"/>
  <c r="F61" i="1"/>
  <c r="H10" i="1" s="1"/>
  <c r="G61" i="1"/>
  <c r="J33" i="1"/>
  <c r="J34" i="1"/>
  <c r="K52" i="1"/>
  <c r="K51" i="1"/>
  <c r="K50" i="1"/>
  <c r="K49" i="1"/>
  <c r="K48" i="1"/>
  <c r="K47" i="1"/>
  <c r="D52" i="1"/>
  <c r="G52" i="1" s="1"/>
  <c r="I52" i="1" s="1"/>
  <c r="N9" i="1" s="1"/>
  <c r="D51" i="1"/>
  <c r="J51" i="1" s="1"/>
  <c r="L51" i="1" s="1"/>
  <c r="S9" i="1" s="1"/>
  <c r="D50" i="1"/>
  <c r="J50" i="1" s="1"/>
  <c r="D49" i="1"/>
  <c r="J49" i="1" s="1"/>
  <c r="D48" i="1"/>
  <c r="G48" i="1" s="1"/>
  <c r="I48" i="1" s="1"/>
  <c r="J9" i="1" s="1"/>
  <c r="D47" i="1"/>
  <c r="J47" i="1" s="1"/>
  <c r="E52" i="1"/>
  <c r="E51" i="1"/>
  <c r="E50" i="1"/>
  <c r="E49" i="1"/>
  <c r="E48" i="1"/>
  <c r="E47" i="1"/>
  <c r="E43" i="1"/>
  <c r="F43" i="1" s="1"/>
  <c r="G43" i="1"/>
  <c r="J42" i="1"/>
  <c r="L42" i="1" s="1"/>
  <c r="S8" i="1" s="1"/>
  <c r="F42" i="1"/>
  <c r="G8" i="1" s="1"/>
  <c r="E42" i="1"/>
  <c r="G42" i="1"/>
  <c r="I42" i="1" s="1"/>
  <c r="M8" i="1" s="1"/>
  <c r="G41" i="1"/>
  <c r="I41" i="1" s="1"/>
  <c r="L8" i="1" s="1"/>
  <c r="E41" i="1"/>
  <c r="F41" i="1" s="1"/>
  <c r="F8" i="1" s="1"/>
  <c r="J41" i="1"/>
  <c r="E40" i="1"/>
  <c r="G40" i="1"/>
  <c r="G39" i="1"/>
  <c r="I39" i="1" s="1"/>
  <c r="J8" i="1" s="1"/>
  <c r="E39" i="1"/>
  <c r="F39" i="1" s="1"/>
  <c r="D8" i="1" s="1"/>
  <c r="J39" i="1"/>
  <c r="L39" i="1" s="1"/>
  <c r="P8" i="1" s="1"/>
  <c r="J38" i="1"/>
  <c r="L38" i="1" s="1"/>
  <c r="O8" i="1" s="1"/>
  <c r="G38" i="1"/>
  <c r="I38" i="1" s="1"/>
  <c r="I8" i="1" s="1"/>
  <c r="E38" i="1"/>
  <c r="F38" i="1" s="1"/>
  <c r="C8" i="1" s="1"/>
  <c r="D32" i="1"/>
  <c r="J32" i="1" s="1"/>
  <c r="D31" i="1"/>
  <c r="J31" i="1" s="1"/>
  <c r="D30" i="1"/>
  <c r="G30" i="1" s="1"/>
  <c r="D29" i="1"/>
  <c r="J29" i="1" s="1"/>
  <c r="G34" i="1"/>
  <c r="I34" i="1" s="1"/>
  <c r="F34" i="1"/>
  <c r="G33" i="1"/>
  <c r="F33" i="1"/>
  <c r="E32" i="1"/>
  <c r="E31" i="1"/>
  <c r="E30" i="1"/>
  <c r="K25" i="1"/>
  <c r="K24" i="1"/>
  <c r="K23" i="1"/>
  <c r="K22" i="1"/>
  <c r="K21" i="1"/>
  <c r="K20" i="1"/>
  <c r="H25" i="1"/>
  <c r="H24" i="1"/>
  <c r="H23" i="1"/>
  <c r="H22" i="1"/>
  <c r="H21" i="1"/>
  <c r="E25" i="1"/>
  <c r="F25" i="1" s="1"/>
  <c r="H6" i="1" s="1"/>
  <c r="E24" i="1"/>
  <c r="E23" i="1"/>
  <c r="E22" i="1"/>
  <c r="E21" i="1"/>
  <c r="D25" i="1"/>
  <c r="G25" i="1" s="1"/>
  <c r="D24" i="1"/>
  <c r="J24" i="1" s="1"/>
  <c r="D23" i="1"/>
  <c r="J23" i="1" s="1"/>
  <c r="L23" i="1" s="1"/>
  <c r="R6" i="1" s="1"/>
  <c r="D22" i="1"/>
  <c r="G22" i="1" s="1"/>
  <c r="D21" i="1"/>
  <c r="J21" i="1" s="1"/>
  <c r="E20" i="1"/>
  <c r="J25" i="1"/>
  <c r="G24" i="1"/>
  <c r="D20" i="1"/>
  <c r="G47" i="1" l="1"/>
  <c r="I47" i="1" s="1"/>
  <c r="I9" i="1" s="1"/>
  <c r="I60" i="1"/>
  <c r="M10" i="1" s="1"/>
  <c r="F21" i="1"/>
  <c r="D6" i="1" s="1"/>
  <c r="F29" i="1"/>
  <c r="C7" i="1" s="1"/>
  <c r="F22" i="1"/>
  <c r="E6" i="1" s="1"/>
  <c r="F49" i="1"/>
  <c r="E9" i="1" s="1"/>
  <c r="F20" i="1"/>
  <c r="C6" i="1" s="1"/>
  <c r="F31" i="1"/>
  <c r="E7" i="1" s="1"/>
  <c r="G20" i="1"/>
  <c r="I20" i="1" s="1"/>
  <c r="I6" i="1" s="1"/>
  <c r="F32" i="1"/>
  <c r="F7" i="1" s="1"/>
  <c r="G49" i="1"/>
  <c r="I49" i="1" s="1"/>
  <c r="K9" i="1" s="1"/>
  <c r="F58" i="1"/>
  <c r="E10" i="1" s="1"/>
  <c r="F50" i="1"/>
  <c r="F9" i="1" s="1"/>
  <c r="F51" i="1"/>
  <c r="G9" i="1" s="1"/>
  <c r="G51" i="1"/>
  <c r="I51" i="1" s="1"/>
  <c r="M9" i="1" s="1"/>
  <c r="J22" i="1"/>
  <c r="L22" i="1" s="1"/>
  <c r="Q6" i="1" s="1"/>
  <c r="I61" i="1"/>
  <c r="N10" i="1" s="1"/>
  <c r="G32" i="1"/>
  <c r="I32" i="1" s="1"/>
  <c r="L7" i="1" s="1"/>
  <c r="G50" i="1"/>
  <c r="I50" i="1" s="1"/>
  <c r="L9" i="1" s="1"/>
  <c r="J86" i="1"/>
  <c r="L86" i="1" s="1"/>
  <c r="R13" i="1" s="1"/>
  <c r="J20" i="1"/>
  <c r="L20" i="1" s="1"/>
  <c r="O6" i="1" s="1"/>
  <c r="G21" i="1"/>
  <c r="F23" i="1"/>
  <c r="F6" i="1" s="1"/>
  <c r="F30" i="1"/>
  <c r="D7" i="1" s="1"/>
  <c r="G31" i="1"/>
  <c r="I31" i="1" s="1"/>
  <c r="K7" i="1" s="1"/>
  <c r="L49" i="1"/>
  <c r="Q9" i="1" s="1"/>
  <c r="G85" i="1"/>
  <c r="I85" i="1" s="1"/>
  <c r="K13" i="1" s="1"/>
  <c r="L88" i="1"/>
  <c r="I94" i="1"/>
  <c r="K14" i="1" s="1"/>
  <c r="J30" i="1"/>
  <c r="I24" i="1"/>
  <c r="M6" i="1" s="1"/>
  <c r="I25" i="1"/>
  <c r="N6" i="1" s="1"/>
  <c r="F24" i="1"/>
  <c r="G6" i="1" s="1"/>
  <c r="I43" i="1"/>
  <c r="J48" i="1"/>
  <c r="I30" i="1"/>
  <c r="J7" i="1" s="1"/>
  <c r="G23" i="1"/>
  <c r="G29" i="1"/>
  <c r="I29" i="1" s="1"/>
  <c r="I7" i="1" s="1"/>
  <c r="I79" i="1"/>
  <c r="L78" i="1"/>
  <c r="L79" i="1"/>
  <c r="L69" i="1"/>
  <c r="I69" i="1"/>
  <c r="I21" i="1"/>
  <c r="J6" i="1" s="1"/>
  <c r="I22" i="1"/>
  <c r="K6" i="1" s="1"/>
  <c r="L24" i="1"/>
  <c r="S6" i="1" s="1"/>
  <c r="I23" i="1"/>
  <c r="L6" i="1" s="1"/>
  <c r="L21" i="1"/>
  <c r="P6" i="1" s="1"/>
  <c r="L25" i="1"/>
  <c r="T6" i="1" s="1"/>
  <c r="I96" i="1"/>
  <c r="M14" i="1" s="1"/>
  <c r="F97" i="1"/>
  <c r="H14" i="1" s="1"/>
  <c r="J97" i="1"/>
  <c r="L97" i="1" s="1"/>
  <c r="T14" i="1" s="1"/>
  <c r="F96" i="1"/>
  <c r="G14" i="1" s="1"/>
  <c r="J96" i="1"/>
  <c r="L96" i="1"/>
  <c r="S14" i="1" s="1"/>
  <c r="F92" i="1"/>
  <c r="F94" i="1"/>
  <c r="E14" i="1" s="1"/>
  <c r="J92" i="1"/>
  <c r="L92" i="1" s="1"/>
  <c r="J94" i="1"/>
  <c r="L94" i="1" s="1"/>
  <c r="Q14" i="1" s="1"/>
  <c r="J93" i="1"/>
  <c r="L93" i="1" s="1"/>
  <c r="J95" i="1"/>
  <c r="L95" i="1" s="1"/>
  <c r="R14" i="1" s="1"/>
  <c r="G84" i="1"/>
  <c r="I84" i="1" s="1"/>
  <c r="J13" i="1" s="1"/>
  <c r="J83" i="1"/>
  <c r="L83" i="1" s="1"/>
  <c r="O13" i="1" s="1"/>
  <c r="F83" i="1"/>
  <c r="C13" i="1" s="1"/>
  <c r="L70" i="1"/>
  <c r="L68" i="1"/>
  <c r="R11" i="1" s="1"/>
  <c r="J67" i="1"/>
  <c r="L67" i="1" s="1"/>
  <c r="Q11" i="1" s="1"/>
  <c r="I59" i="1"/>
  <c r="L10" i="1" s="1"/>
  <c r="I56" i="1"/>
  <c r="I10" i="1" s="1"/>
  <c r="F60" i="1"/>
  <c r="G10" i="1" s="1"/>
  <c r="F59" i="1"/>
  <c r="F10" i="1" s="1"/>
  <c r="F57" i="1"/>
  <c r="D10" i="1" s="1"/>
  <c r="F56" i="1"/>
  <c r="C10" i="1" s="1"/>
  <c r="J56" i="1"/>
  <c r="L56" i="1" s="1"/>
  <c r="O10" i="1" s="1"/>
  <c r="J57" i="1"/>
  <c r="L57" i="1" s="1"/>
  <c r="P10" i="1" s="1"/>
  <c r="J58" i="1"/>
  <c r="L58" i="1" s="1"/>
  <c r="Q10" i="1" s="1"/>
  <c r="J59" i="1"/>
  <c r="L59" i="1" s="1"/>
  <c r="R10" i="1" s="1"/>
  <c r="J60" i="1"/>
  <c r="L60" i="1" s="1"/>
  <c r="S10" i="1" s="1"/>
  <c r="J61" i="1"/>
  <c r="L61" i="1" s="1"/>
  <c r="T10" i="1" s="1"/>
  <c r="L33" i="1"/>
  <c r="L50" i="1"/>
  <c r="R9" i="1" s="1"/>
  <c r="L48" i="1"/>
  <c r="P9" i="1" s="1"/>
  <c r="L47" i="1"/>
  <c r="O9" i="1" s="1"/>
  <c r="F52" i="1"/>
  <c r="H9" i="1" s="1"/>
  <c r="J52" i="1"/>
  <c r="L52" i="1" s="1"/>
  <c r="T9" i="1" s="1"/>
  <c r="F48" i="1"/>
  <c r="D9" i="1" s="1"/>
  <c r="F47" i="1"/>
  <c r="C9" i="1" s="1"/>
  <c r="L41" i="1"/>
  <c r="R8" i="1" s="1"/>
  <c r="I40" i="1"/>
  <c r="K8" i="1" s="1"/>
  <c r="J43" i="1"/>
  <c r="L43" i="1" s="1"/>
  <c r="F40" i="1"/>
  <c r="E8" i="1" s="1"/>
  <c r="J40" i="1"/>
  <c r="L40" i="1" s="1"/>
  <c r="Q8" i="1" s="1"/>
  <c r="L34" i="1"/>
  <c r="I33" i="1"/>
  <c r="L30" i="1"/>
  <c r="P7" i="1" s="1"/>
  <c r="L29" i="1"/>
  <c r="O7" i="1" s="1"/>
  <c r="L32" i="1"/>
  <c r="R7" i="1" s="1"/>
  <c r="L31" i="1"/>
  <c r="Q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Lilja Dögg</author>
  </authors>
  <commentList>
    <comment ref="B7" authorId="0" shapeId="0" xr:uid="{EFAB33E0-4D65-45D8-A9DE-C56719AB676E}">
      <text>
        <r>
          <rPr>
            <b/>
            <sz val="9"/>
            <color indexed="81"/>
            <rFont val="Tahoma"/>
            <family val="2"/>
          </rPr>
          <t>Lilja Dögg:</t>
        </r>
        <r>
          <rPr>
            <sz val="9"/>
            <color indexed="81"/>
            <rFont val="Tahoma"/>
            <family val="2"/>
          </rPr>
          <t xml:space="preserve">
http://gamli.veidimal.is/files/Skra_0035936.pdf bls. 27</t>
        </r>
      </text>
    </comment>
    <comment ref="B8" authorId="0" shapeId="0" xr:uid="{ABB5ABD2-A921-4D02-B0F5-8A2CB1D9354A}">
      <text>
        <r>
          <rPr>
            <b/>
            <sz val="9"/>
            <color indexed="81"/>
            <rFont val="Tahoma"/>
            <family val="2"/>
          </rPr>
          <t>Lilja Dögg:</t>
        </r>
        <r>
          <rPr>
            <sz val="9"/>
            <color indexed="81"/>
            <rFont val="Tahoma"/>
            <family val="2"/>
          </rPr>
          <t xml:space="preserve">
http://gamli.veidimal.is/files/Skra_0042552.pdf bls. 29</t>
        </r>
      </text>
    </comment>
    <comment ref="B9" authorId="0" shapeId="0" xr:uid="{2A409226-C632-42B5-8B74-06E60B18D738}">
      <text>
        <r>
          <rPr>
            <b/>
            <sz val="9"/>
            <color indexed="81"/>
            <rFont val="Tahoma"/>
            <family val="2"/>
          </rPr>
          <t>Lilja Dögg:</t>
        </r>
        <r>
          <rPr>
            <sz val="9"/>
            <color indexed="81"/>
            <rFont val="Tahoma"/>
            <family val="2"/>
          </rPr>
          <t xml:space="preserve">
http://gamli.veidimal.is/files/Skra_0048996.pdf bls. 29</t>
        </r>
      </text>
    </comment>
    <comment ref="B10" authorId="0" shapeId="0" xr:uid="{CB0DA059-68B3-41D6-A86B-D96DB9581FCB}">
      <text>
        <r>
          <rPr>
            <b/>
            <sz val="9"/>
            <color indexed="81"/>
            <rFont val="Tahoma"/>
            <family val="2"/>
          </rPr>
          <t>Lilja Dögg:</t>
        </r>
        <r>
          <rPr>
            <sz val="9"/>
            <color indexed="81"/>
            <rFont val="Tahoma"/>
            <family val="2"/>
          </rPr>
          <t xml:space="preserve">
http://gamli.veidimal.is/files/Skra_0056656.pdf bls. 30</t>
        </r>
      </text>
    </comment>
    <comment ref="B11" authorId="0" shapeId="0" xr:uid="{BDA462B9-4C9B-4013-8064-30A963BC545B}">
      <text>
        <r>
          <rPr>
            <b/>
            <sz val="9"/>
            <color indexed="81"/>
            <rFont val="Tahoma"/>
            <family val="2"/>
          </rPr>
          <t>Lilja Dögg:</t>
        </r>
        <r>
          <rPr>
            <sz val="9"/>
            <color indexed="81"/>
            <rFont val="Tahoma"/>
            <family val="2"/>
          </rPr>
          <t xml:space="preserve">
http://gamli.veidimal.is/Files/Skra_0062467.pdf bls. 30</t>
        </r>
      </text>
    </comment>
    <comment ref="B12" authorId="0" shapeId="0" xr:uid="{A599AAE3-3ED9-45F9-A8C8-021A38B85B40}">
      <text>
        <r>
          <rPr>
            <b/>
            <sz val="9"/>
            <color indexed="81"/>
            <rFont val="Tahoma"/>
            <family val="2"/>
          </rPr>
          <t>Lilja Dögg:</t>
        </r>
        <r>
          <rPr>
            <sz val="9"/>
            <color indexed="81"/>
            <rFont val="Tahoma"/>
            <family val="2"/>
          </rPr>
          <t xml:space="preserve">
http://gamli.veidimal.is/Files/Skra_0067428.pdf bls. 30</t>
        </r>
      </text>
    </comment>
    <comment ref="B13" authorId="0" shapeId="0" xr:uid="{F3A4A8E5-6FE8-4531-B13D-A28346D148CA}">
      <text>
        <r>
          <rPr>
            <b/>
            <sz val="9"/>
            <color indexed="81"/>
            <rFont val="Tahoma"/>
            <family val="2"/>
          </rPr>
          <t>Lilja Dögg:</t>
        </r>
        <r>
          <rPr>
            <sz val="9"/>
            <color indexed="81"/>
            <rFont val="Tahoma"/>
            <family val="2"/>
          </rPr>
          <t xml:space="preserve">
http://gamli.veidimal.is/Files/Skra_0071558.pdf bls. 30</t>
        </r>
      </text>
    </comment>
    <comment ref="B14" authorId="0" shapeId="0" xr:uid="{62219AD1-1734-4BBA-B9B9-B773FC428F25}">
      <text>
        <r>
          <rPr>
            <b/>
            <sz val="9"/>
            <color indexed="81"/>
            <rFont val="Tahoma"/>
            <family val="2"/>
          </rPr>
          <t>Lilja Dögg:</t>
        </r>
        <r>
          <rPr>
            <sz val="9"/>
            <color indexed="81"/>
            <rFont val="Tahoma"/>
            <family val="2"/>
          </rPr>
          <t xml:space="preserve">
http://gamli.veidimal.is/Files/Skra_0075486.pdf bls. 31</t>
        </r>
      </text>
    </comment>
    <comment ref="B15" authorId="0" shapeId="0" xr:uid="{4A16F01B-B475-4478-B018-96139213786A}">
      <text>
        <r>
          <rPr>
            <b/>
            <sz val="9"/>
            <color indexed="81"/>
            <rFont val="Tahoma"/>
            <family val="2"/>
          </rPr>
          <t>Lilja Dögg:</t>
        </r>
        <r>
          <rPr>
            <sz val="9"/>
            <color indexed="81"/>
            <rFont val="Tahoma"/>
            <family val="2"/>
          </rPr>
          <t xml:space="preserve">
https://www.hafogvatn.is/static/research/files/hv2017-029pdf bls. 25</t>
        </r>
      </text>
    </comment>
    <comment ref="B16" authorId="0" shapeId="0" xr:uid="{2F7066F8-AB30-4C65-858B-DF56B3B547D0}">
      <text>
        <r>
          <rPr>
            <b/>
            <sz val="9"/>
            <color indexed="81"/>
            <rFont val="Tahoma"/>
            <family val="2"/>
          </rPr>
          <t>Lilja Dögg:</t>
        </r>
        <r>
          <rPr>
            <sz val="9"/>
            <color indexed="81"/>
            <rFont val="Tahoma"/>
            <family val="2"/>
          </rPr>
          <t xml:space="preserve">
https://www.hafogvatn.is/static/research/files/hv2018-35pdf bls. 23</t>
        </r>
      </text>
    </comment>
    <comment ref="C22" authorId="0" shapeId="0" xr:uid="{43970EAB-0710-4452-B24D-8C3857CB8E4D}">
      <text>
        <r>
          <rPr>
            <b/>
            <sz val="9"/>
            <color indexed="81"/>
            <rFont val="Tahoma"/>
            <family val="2"/>
          </rPr>
          <t>Lilja Dögg:</t>
        </r>
        <r>
          <rPr>
            <sz val="9"/>
            <color indexed="81"/>
            <rFont val="Tahoma"/>
            <family val="2"/>
          </rPr>
          <t xml:space="preserve">
http://gamli.veidimal.is/files/Skra_0013088.pdf bls. 26</t>
        </r>
      </text>
    </comment>
    <comment ref="D22" authorId="0" shapeId="0" xr:uid="{597F51B1-998D-439B-BE09-8B7092513B56}">
      <text>
        <r>
          <rPr>
            <b/>
            <sz val="9"/>
            <color indexed="81"/>
            <rFont val="Tahoma"/>
            <family val="2"/>
          </rPr>
          <t>Lilja Dögg:</t>
        </r>
        <r>
          <rPr>
            <sz val="9"/>
            <color indexed="81"/>
            <rFont val="Tahoma"/>
            <family val="2"/>
          </rPr>
          <t xml:space="preserve">
http://gamli.veidimal.is/files/Skra_0020043.pdf bls. 27</t>
        </r>
      </text>
    </comment>
    <comment ref="E22" authorId="0" shapeId="0" xr:uid="{834C6993-BA51-42BE-A6C0-0FDA67D90031}">
      <text>
        <r>
          <rPr>
            <b/>
            <sz val="9"/>
            <color indexed="81"/>
            <rFont val="Tahoma"/>
            <family val="2"/>
          </rPr>
          <t>Lilja Dögg:</t>
        </r>
        <r>
          <rPr>
            <sz val="9"/>
            <color indexed="81"/>
            <rFont val="Tahoma"/>
            <family val="2"/>
          </rPr>
          <t xml:space="preserve">
http://gamli.veidimal.is/files/Skra_0028252.pdf bls. 30</t>
        </r>
      </text>
    </comment>
    <comment ref="F22" authorId="0" shapeId="0" xr:uid="{952FFC96-E69C-461F-A993-0295B892CF2A}">
      <text>
        <r>
          <rPr>
            <b/>
            <sz val="9"/>
            <color indexed="81"/>
            <rFont val="Tahoma"/>
            <family val="2"/>
          </rPr>
          <t>Lilja Dögg:</t>
        </r>
        <r>
          <rPr>
            <sz val="9"/>
            <color indexed="81"/>
            <rFont val="Tahoma"/>
            <family val="2"/>
          </rPr>
          <t xml:space="preserve">
http://gamli.veidimal.is/files/Skra_0035936.pdf bls. 33</t>
        </r>
      </text>
    </comment>
    <comment ref="G22" authorId="0" shapeId="0" xr:uid="{779ABEFD-5B01-4B0C-AB26-8AB75D50CDE8}">
      <text>
        <r>
          <rPr>
            <b/>
            <sz val="9"/>
            <color indexed="81"/>
            <rFont val="Tahoma"/>
            <family val="2"/>
          </rPr>
          <t>Lilja Dögg:</t>
        </r>
        <r>
          <rPr>
            <sz val="9"/>
            <color indexed="81"/>
            <rFont val="Tahoma"/>
            <family val="2"/>
          </rPr>
          <t xml:space="preserve">
http://gamli.veidimal.is/files/Skra_0042552.pdf bls. 36</t>
        </r>
      </text>
    </comment>
    <comment ref="H22" authorId="0" shapeId="0" xr:uid="{4495AE67-6458-4615-BF02-49FE63B51D2A}">
      <text>
        <r>
          <rPr>
            <b/>
            <sz val="9"/>
            <color indexed="81"/>
            <rFont val="Tahoma"/>
            <family val="2"/>
          </rPr>
          <t>Lilja Dögg:</t>
        </r>
        <r>
          <rPr>
            <sz val="9"/>
            <color indexed="81"/>
            <rFont val="Tahoma"/>
            <family val="2"/>
          </rPr>
          <t xml:space="preserve">
http://gamli.veidimal.is/files/Skra_0048996.pdf bls. 36</t>
        </r>
      </text>
    </comment>
    <comment ref="I22" authorId="0" shapeId="0" xr:uid="{AE5B6C17-9030-4AC6-A934-23F379513B15}">
      <text>
        <r>
          <rPr>
            <b/>
            <sz val="9"/>
            <color indexed="81"/>
            <rFont val="Tahoma"/>
            <family val="2"/>
          </rPr>
          <t>Lilja Dögg:</t>
        </r>
        <r>
          <rPr>
            <sz val="9"/>
            <color indexed="81"/>
            <rFont val="Tahoma"/>
            <family val="2"/>
          </rPr>
          <t xml:space="preserve">
http://gamli.veidimal.is/files/Skra_0056656.pdf bls. 37</t>
        </r>
      </text>
    </comment>
    <comment ref="J22" authorId="0" shapeId="0" xr:uid="{8D8A4987-2861-4FC4-8A0B-0C81A6655EE4}">
      <text>
        <r>
          <rPr>
            <b/>
            <sz val="9"/>
            <color indexed="81"/>
            <rFont val="Tahoma"/>
            <family val="2"/>
          </rPr>
          <t>Lilja Dögg:</t>
        </r>
        <r>
          <rPr>
            <sz val="9"/>
            <color indexed="81"/>
            <rFont val="Tahoma"/>
            <family val="2"/>
          </rPr>
          <t xml:space="preserve">
http://gamli.veidimal.is/Files/Skra_0062467.pdf bls. 37</t>
        </r>
      </text>
    </comment>
    <comment ref="K22" authorId="0" shapeId="0" xr:uid="{91253FBB-B679-483E-86CD-C9EB21766C0A}">
      <text>
        <r>
          <rPr>
            <b/>
            <sz val="9"/>
            <color indexed="81"/>
            <rFont val="Tahoma"/>
            <family val="2"/>
          </rPr>
          <t>Lilja Dögg:</t>
        </r>
        <r>
          <rPr>
            <sz val="9"/>
            <color indexed="81"/>
            <rFont val="Tahoma"/>
            <family val="2"/>
          </rPr>
          <t xml:space="preserve">
http://gamli.veidimal.is/Files/Skra_0067428.pdf bls. 37</t>
        </r>
      </text>
    </comment>
    <comment ref="L22" authorId="0" shapeId="0" xr:uid="{D4671B9C-9B48-464B-8767-BB4CE8B95BA9}">
      <text>
        <r>
          <rPr>
            <b/>
            <sz val="9"/>
            <color indexed="81"/>
            <rFont val="Tahoma"/>
            <family val="2"/>
          </rPr>
          <t>Lilja Dögg:</t>
        </r>
        <r>
          <rPr>
            <sz val="9"/>
            <color indexed="81"/>
            <rFont val="Tahoma"/>
            <family val="2"/>
          </rPr>
          <t xml:space="preserve">
http://gamli.veidimal.is/Files/Skra_0071558.pdf bls. 37</t>
        </r>
      </text>
    </comment>
    <comment ref="M22" authorId="0" shapeId="0" xr:uid="{675145F2-F40F-40EC-A385-E8E8138D8FEB}">
      <text>
        <r>
          <rPr>
            <b/>
            <sz val="9"/>
            <color indexed="81"/>
            <rFont val="Tahoma"/>
            <family val="2"/>
          </rPr>
          <t>Lilja Dögg:</t>
        </r>
        <r>
          <rPr>
            <sz val="9"/>
            <color indexed="81"/>
            <rFont val="Tahoma"/>
            <family val="2"/>
          </rPr>
          <t xml:space="preserve">
http://gamli.veidimal.is/Files/Skra_0075486.pdf bls. 38</t>
        </r>
      </text>
    </comment>
    <comment ref="N22" authorId="0" shapeId="0" xr:uid="{0B911118-9819-4FB7-A160-B2A48AF45331}">
      <text>
        <r>
          <rPr>
            <b/>
            <sz val="9"/>
            <color indexed="81"/>
            <rFont val="Tahoma"/>
            <family val="2"/>
          </rPr>
          <t>Lilja Dögg:</t>
        </r>
        <r>
          <rPr>
            <sz val="9"/>
            <color indexed="81"/>
            <rFont val="Tahoma"/>
            <family val="2"/>
          </rPr>
          <t xml:space="preserve">
https://www.hafogvatn.is/static/research/files/hv2017-029pdf bls. 32</t>
        </r>
      </text>
    </comment>
    <comment ref="O22" authorId="0" shapeId="0" xr:uid="{69A096B9-7575-485F-925C-40D6C8038E6D}">
      <text>
        <r>
          <rPr>
            <b/>
            <sz val="9"/>
            <color indexed="81"/>
            <rFont val="Tahoma"/>
            <family val="2"/>
          </rPr>
          <t>Lilja Dögg:</t>
        </r>
        <r>
          <rPr>
            <sz val="9"/>
            <color indexed="81"/>
            <rFont val="Tahoma"/>
            <family val="2"/>
          </rPr>
          <t xml:space="preserve">
https://www.hafogvatn.is/static/research/files/hv2018-35pdf bls. 30</t>
        </r>
      </text>
    </comment>
  </commentList>
</comments>
</file>

<file path=xl/sharedStrings.xml><?xml version="1.0" encoding="utf-8"?>
<sst xmlns="http://schemas.openxmlformats.org/spreadsheetml/2006/main" count="172" uniqueCount="37">
  <si>
    <t>Kelduá</t>
  </si>
  <si>
    <t>fm</t>
  </si>
  <si>
    <t>fjöldi</t>
  </si>
  <si>
    <t>þéttleiki</t>
  </si>
  <si>
    <t>Lax</t>
  </si>
  <si>
    <t>Bleikja</t>
  </si>
  <si>
    <t>Urriði</t>
  </si>
  <si>
    <t>Jökulsá í Fljótsdal</t>
  </si>
  <si>
    <t>Hengifossá</t>
  </si>
  <si>
    <t>Rangá í Fellum</t>
  </si>
  <si>
    <t>Gilsá í Eiðaþinhá</t>
  </si>
  <si>
    <t>Fögruhíðará</t>
  </si>
  <si>
    <t>Laxá í Jökulsárhlíð</t>
  </si>
  <si>
    <t>Hrafnkelsá</t>
  </si>
  <si>
    <t>Eyvindará</t>
  </si>
  <si>
    <t>Gilsá í Eiðaþinghá</t>
  </si>
  <si>
    <t>Fögruhlíðará</t>
  </si>
  <si>
    <t>Vatnsfall/ár</t>
  </si>
  <si>
    <t>Gögn sótt í skýrslu Landsvirkjunar - LV - 2017 - 094</t>
  </si>
  <si>
    <t>Sótt á vef 19.12.2018 á slóðina</t>
  </si>
  <si>
    <t>https://www.landsvirkjun.is/Media/fiskirannsoknir-a-vatnasvidi-lagarfljots-og-gilsar-2016.pdf</t>
  </si>
  <si>
    <t>Ár</t>
  </si>
  <si>
    <t>Egilsstaðir</t>
  </si>
  <si>
    <t>Hallormsstaður</t>
  </si>
  <si>
    <t>Vífilsstaðaflói</t>
  </si>
  <si>
    <t>Sótt á vef 19.11.2018 á slóðina</t>
  </si>
  <si>
    <t>https://www.hafogvatn.is/static/research/files/hv2018-35pdf</t>
  </si>
  <si>
    <t>Tafla 14 og tafla 19</t>
  </si>
  <si>
    <t>Tafla 14</t>
  </si>
  <si>
    <t>Samtals</t>
  </si>
  <si>
    <t>Fjöldi stangveiddra laxa á vatnasvæði Jökulsár á Dal</t>
  </si>
  <si>
    <t>Skráð netaveiði í Lagarfljóti hjá Veiðimálastofnun</t>
  </si>
  <si>
    <t>Tafla 19</t>
  </si>
  <si>
    <t>Tegund</t>
  </si>
  <si>
    <t>ND</t>
  </si>
  <si>
    <t>Skýrsla barst ekki = ND</t>
  </si>
  <si>
    <t>Gögn sótt í skýrslu Hafrannsóknarstofnunnar - HV - 2018 - 035 fyrir veiði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</si>
</sst>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2" fontId="0" fillId="0" borderId="0" xfId="0" applyNumberFormat="1"/>
    <xf numFmtId="0" fontId="0" fillId="0" borderId="0" xfId="0" applyFill="1"/>
    <xf numFmtId="2" fontId="0" fillId="0" borderId="0" xfId="0" applyNumberFormat="1" applyFont="1"/>
    <xf numFmtId="0" fontId="0" fillId="0" borderId="0" xfId="0" applyFont="1"/>
    <xf numFmtId="1" fontId="1" fillId="0" borderId="0" xfId="0" applyNumberFormat="1" applyFont="1" applyFill="1" applyBorder="1" applyAlignment="1">
      <alignment horizontal="left" vertical="top" wrapText="1" indent="1"/>
    </xf>
    <xf numFmtId="0" fontId="1" fillId="0" borderId="0" xfId="0" applyFont="1" applyFill="1" applyBorder="1" applyAlignment="1">
      <alignment horizontal="left" vertical="top" wrapText="1" indent="1"/>
    </xf>
    <xf numFmtId="164" fontId="1" fillId="0" borderId="0" xfId="0" applyNumberFormat="1" applyFont="1" applyFill="1" applyBorder="1" applyAlignment="1">
      <alignment horizontal="center" vertical="top"/>
    </xf>
    <xf numFmtId="164" fontId="1" fillId="0" borderId="0" xfId="0" applyNumberFormat="1" applyFont="1" applyFill="1" applyBorder="1" applyAlignment="1">
      <alignment horizontal="center" vertical="top" wrapText="1"/>
    </xf>
    <xf numFmtId="0" fontId="0" fillId="0" borderId="1" xfId="0" applyBorder="1"/>
    <xf numFmtId="0" fontId="0" fillId="0" borderId="4" xfId="0" applyBorder="1"/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6" xfId="0" applyBorder="1"/>
    <xf numFmtId="164" fontId="0" fillId="0" borderId="7" xfId="0" applyNumberForma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top" wrapText="1"/>
    </xf>
    <xf numFmtId="164" fontId="0" fillId="0" borderId="7" xfId="0" applyNumberFormat="1" applyFill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 vertical="top" wrapText="1"/>
    </xf>
    <xf numFmtId="164" fontId="0" fillId="0" borderId="6" xfId="0" applyNumberFormat="1" applyBorder="1" applyAlignment="1">
      <alignment horizontal="center"/>
    </xf>
    <xf numFmtId="164" fontId="1" fillId="0" borderId="8" xfId="0" applyNumberFormat="1" applyFont="1" applyFill="1" applyBorder="1" applyAlignment="1">
      <alignment horizontal="center" vertical="top" wrapText="1"/>
    </xf>
    <xf numFmtId="0" fontId="0" fillId="5" borderId="9" xfId="0" applyFill="1" applyBorder="1"/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7" borderId="1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4" borderId="20" xfId="0" applyFill="1" applyBorder="1"/>
    <xf numFmtId="0" fontId="0" fillId="3" borderId="14" xfId="0" applyFill="1" applyBorder="1"/>
    <xf numFmtId="0" fontId="0" fillId="2" borderId="26" xfId="0" applyFill="1" applyBorder="1"/>
    <xf numFmtId="0" fontId="0" fillId="2" borderId="9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0" fillId="6" borderId="9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93FB1-4110-4F52-AEE5-7017D09C15EF}">
  <dimension ref="B1:H14"/>
  <sheetViews>
    <sheetView zoomScaleNormal="100" workbookViewId="0">
      <selection activeCell="B2" sqref="B2"/>
    </sheetView>
  </sheetViews>
  <sheetFormatPr defaultRowHeight="15" x14ac:dyDescent="0.25"/>
  <sheetData>
    <row r="1" spans="2:8" x14ac:dyDescent="0.25">
      <c r="B1" t="s">
        <v>18</v>
      </c>
    </row>
    <row r="2" spans="2:8" x14ac:dyDescent="0.25">
      <c r="B2" t="s">
        <v>19</v>
      </c>
      <c r="E2" t="s">
        <v>20</v>
      </c>
    </row>
    <row r="3" spans="2:8" ht="15.75" thickBot="1" x14ac:dyDescent="0.3"/>
    <row r="4" spans="2:8" ht="29.1" customHeight="1" thickBot="1" x14ac:dyDescent="0.3">
      <c r="B4" s="9"/>
      <c r="C4" s="62" t="s">
        <v>22</v>
      </c>
      <c r="D4" s="63"/>
      <c r="E4" s="64" t="s">
        <v>23</v>
      </c>
      <c r="F4" s="65"/>
      <c r="G4" s="66" t="s">
        <v>24</v>
      </c>
      <c r="H4" s="67"/>
    </row>
    <row r="5" spans="2:8" ht="15.75" thickBot="1" x14ac:dyDescent="0.3">
      <c r="B5" s="23" t="s">
        <v>21</v>
      </c>
      <c r="C5" s="33" t="s">
        <v>5</v>
      </c>
      <c r="D5" s="34" t="s">
        <v>6</v>
      </c>
      <c r="E5" s="35" t="s">
        <v>5</v>
      </c>
      <c r="F5" s="36" t="s">
        <v>6</v>
      </c>
      <c r="G5" s="33" t="s">
        <v>5</v>
      </c>
      <c r="H5" s="34" t="s">
        <v>6</v>
      </c>
    </row>
    <row r="6" spans="2:8" x14ac:dyDescent="0.25">
      <c r="B6" s="37">
        <v>1998</v>
      </c>
      <c r="C6" s="37">
        <v>229</v>
      </c>
      <c r="D6" s="12">
        <v>30</v>
      </c>
      <c r="E6" s="11">
        <v>86</v>
      </c>
      <c r="F6" s="11">
        <v>42</v>
      </c>
      <c r="G6" s="37"/>
      <c r="H6" s="12"/>
    </row>
    <row r="7" spans="2:8" x14ac:dyDescent="0.25">
      <c r="B7" s="37">
        <v>2000</v>
      </c>
      <c r="C7" s="37"/>
      <c r="D7" s="12"/>
      <c r="E7" s="11"/>
      <c r="F7" s="11"/>
      <c r="G7" s="37">
        <f>94+29</f>
        <v>123</v>
      </c>
      <c r="H7" s="12">
        <f>31+19</f>
        <v>50</v>
      </c>
    </row>
    <row r="8" spans="2:8" x14ac:dyDescent="0.25">
      <c r="B8" s="37">
        <v>2005</v>
      </c>
      <c r="C8" s="37">
        <v>95</v>
      </c>
      <c r="D8" s="12">
        <v>44</v>
      </c>
      <c r="E8" s="11">
        <v>46</v>
      </c>
      <c r="F8" s="11">
        <v>37</v>
      </c>
      <c r="G8" s="37"/>
      <c r="H8" s="12"/>
    </row>
    <row r="9" spans="2:8" x14ac:dyDescent="0.25">
      <c r="B9" s="37">
        <v>2006</v>
      </c>
      <c r="C9" s="37">
        <v>119</v>
      </c>
      <c r="D9" s="12">
        <v>50</v>
      </c>
      <c r="E9" s="11">
        <f>14+47</f>
        <v>61</v>
      </c>
      <c r="F9" s="11">
        <f>3+14</f>
        <v>17</v>
      </c>
      <c r="G9" s="37"/>
      <c r="H9" s="12"/>
    </row>
    <row r="10" spans="2:8" x14ac:dyDescent="0.25">
      <c r="B10" s="37">
        <v>2010</v>
      </c>
      <c r="C10" s="37">
        <v>15</v>
      </c>
      <c r="D10" s="12">
        <v>2</v>
      </c>
      <c r="E10" s="11">
        <v>16</v>
      </c>
      <c r="F10" s="11">
        <v>11</v>
      </c>
      <c r="G10" s="37"/>
      <c r="H10" s="12"/>
    </row>
    <row r="11" spans="2:8" x14ac:dyDescent="0.25">
      <c r="B11" s="37">
        <v>2011</v>
      </c>
      <c r="C11" s="37">
        <v>54</v>
      </c>
      <c r="D11" s="12">
        <v>39</v>
      </c>
      <c r="E11" s="11">
        <v>24</v>
      </c>
      <c r="F11" s="11">
        <v>36</v>
      </c>
      <c r="G11" s="37"/>
      <c r="H11" s="12"/>
    </row>
    <row r="12" spans="2:8" x14ac:dyDescent="0.25">
      <c r="B12" s="37">
        <v>2012</v>
      </c>
      <c r="C12" s="37">
        <v>69</v>
      </c>
      <c r="D12" s="12">
        <v>29</v>
      </c>
      <c r="E12" s="11">
        <v>15</v>
      </c>
      <c r="F12" s="11">
        <v>27</v>
      </c>
      <c r="G12" s="37">
        <v>38</v>
      </c>
      <c r="H12" s="12">
        <v>15</v>
      </c>
    </row>
    <row r="13" spans="2:8" x14ac:dyDescent="0.25">
      <c r="B13" s="37">
        <v>2014</v>
      </c>
      <c r="C13" s="37">
        <v>51</v>
      </c>
      <c r="D13" s="12">
        <v>43</v>
      </c>
      <c r="E13" s="11">
        <v>56</v>
      </c>
      <c r="F13" s="11">
        <v>63</v>
      </c>
      <c r="G13" s="37">
        <v>90</v>
      </c>
      <c r="H13" s="12">
        <v>53</v>
      </c>
    </row>
    <row r="14" spans="2:8" ht="15.75" thickBot="1" x14ac:dyDescent="0.3">
      <c r="B14" s="38">
        <v>2016</v>
      </c>
      <c r="C14" s="38">
        <v>71</v>
      </c>
      <c r="D14" s="39">
        <v>36</v>
      </c>
      <c r="E14" s="40">
        <v>59</v>
      </c>
      <c r="F14" s="40">
        <v>35</v>
      </c>
      <c r="G14" s="38">
        <v>81</v>
      </c>
      <c r="H14" s="39">
        <v>48</v>
      </c>
    </row>
  </sheetData>
  <mergeCells count="3">
    <mergeCell ref="C4:D4"/>
    <mergeCell ref="E4:F4"/>
    <mergeCell ref="G4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50DE6-0AFB-4D7F-BE12-53259EDA6F95}">
  <dimension ref="B1:T97"/>
  <sheetViews>
    <sheetView zoomScaleNormal="100" workbookViewId="0">
      <selection activeCell="B28" sqref="B27:B28"/>
    </sheetView>
  </sheetViews>
  <sheetFormatPr defaultRowHeight="15" x14ac:dyDescent="0.25"/>
  <cols>
    <col min="2" max="2" width="16.85546875" customWidth="1"/>
    <col min="3" max="5" width="5.5703125" customWidth="1"/>
    <col min="6" max="6" width="6.85546875" customWidth="1"/>
    <col min="7" max="20" width="5.5703125" customWidth="1"/>
  </cols>
  <sheetData>
    <row r="1" spans="2:20" x14ac:dyDescent="0.25">
      <c r="B1" t="s">
        <v>18</v>
      </c>
    </row>
    <row r="2" spans="2:20" x14ac:dyDescent="0.25">
      <c r="B2" t="s">
        <v>19</v>
      </c>
      <c r="E2" t="s">
        <v>20</v>
      </c>
    </row>
    <row r="3" spans="2:20" ht="15.75" thickBot="1" x14ac:dyDescent="0.3"/>
    <row r="4" spans="2:20" ht="15.75" thickBot="1" x14ac:dyDescent="0.3">
      <c r="B4" s="9"/>
      <c r="C4" s="76" t="s">
        <v>4</v>
      </c>
      <c r="D4" s="77"/>
      <c r="E4" s="77"/>
      <c r="F4" s="77"/>
      <c r="G4" s="77"/>
      <c r="H4" s="78"/>
      <c r="I4" s="79" t="s">
        <v>5</v>
      </c>
      <c r="J4" s="79"/>
      <c r="K4" s="79"/>
      <c r="L4" s="79"/>
      <c r="M4" s="79"/>
      <c r="N4" s="79"/>
      <c r="O4" s="72" t="s">
        <v>6</v>
      </c>
      <c r="P4" s="73"/>
      <c r="Q4" s="73"/>
      <c r="R4" s="73"/>
      <c r="S4" s="73"/>
      <c r="T4" s="74"/>
    </row>
    <row r="5" spans="2:20" ht="15.75" thickBot="1" x14ac:dyDescent="0.3">
      <c r="B5" s="29" t="s">
        <v>17</v>
      </c>
      <c r="C5" s="30">
        <v>2005</v>
      </c>
      <c r="D5" s="31">
        <v>2006</v>
      </c>
      <c r="E5" s="31">
        <v>2010</v>
      </c>
      <c r="F5" s="31">
        <v>2012</v>
      </c>
      <c r="G5" s="31">
        <v>2014</v>
      </c>
      <c r="H5" s="32">
        <v>2016</v>
      </c>
      <c r="I5" s="31">
        <v>2005</v>
      </c>
      <c r="J5" s="31">
        <v>2006</v>
      </c>
      <c r="K5" s="31">
        <v>2010</v>
      </c>
      <c r="L5" s="31">
        <v>2012</v>
      </c>
      <c r="M5" s="31">
        <v>2014</v>
      </c>
      <c r="N5" s="31">
        <v>2016</v>
      </c>
      <c r="O5" s="30">
        <v>2005</v>
      </c>
      <c r="P5" s="31">
        <v>2006</v>
      </c>
      <c r="Q5" s="31">
        <v>2010</v>
      </c>
      <c r="R5" s="31">
        <v>2012</v>
      </c>
      <c r="S5" s="31">
        <v>2014</v>
      </c>
      <c r="T5" s="32">
        <v>2016</v>
      </c>
    </row>
    <row r="6" spans="2:20" x14ac:dyDescent="0.25">
      <c r="B6" s="10" t="s">
        <v>0</v>
      </c>
      <c r="C6" s="24">
        <f>F20</f>
        <v>0</v>
      </c>
      <c r="D6" s="13">
        <f>F21</f>
        <v>0</v>
      </c>
      <c r="E6" s="13">
        <f>F22</f>
        <v>0</v>
      </c>
      <c r="F6" s="13">
        <f>F23</f>
        <v>0</v>
      </c>
      <c r="G6" s="13">
        <f>F24</f>
        <v>0</v>
      </c>
      <c r="H6" s="14">
        <f>F25</f>
        <v>0</v>
      </c>
      <c r="I6" s="13">
        <f>I20</f>
        <v>1.257861635220126</v>
      </c>
      <c r="J6" s="13">
        <f>I21</f>
        <v>4.3818466353677623</v>
      </c>
      <c r="K6" s="13">
        <f>I22</f>
        <v>3.3182503770739067</v>
      </c>
      <c r="L6" s="13">
        <f>I23</f>
        <v>3.1372549019607843</v>
      </c>
      <c r="M6" s="13">
        <f>I24</f>
        <v>4.7263681592039797</v>
      </c>
      <c r="N6" s="13">
        <f>I25</f>
        <v>9.819121447028424</v>
      </c>
      <c r="O6" s="24">
        <f>L20</f>
        <v>0.12578616352201258</v>
      </c>
      <c r="P6" s="13">
        <f>L21</f>
        <v>2.0344287949921753</v>
      </c>
      <c r="Q6" s="13">
        <f>L22</f>
        <v>3.3182503770739067</v>
      </c>
      <c r="R6" s="13">
        <f>L23</f>
        <v>3.9215686274509802</v>
      </c>
      <c r="S6" s="13">
        <f>L24</f>
        <v>2.7363184079601992</v>
      </c>
      <c r="T6" s="14">
        <f>L25</f>
        <v>1.2919896640826873</v>
      </c>
    </row>
    <row r="7" spans="2:20" x14ac:dyDescent="0.25">
      <c r="B7" s="10" t="s">
        <v>7</v>
      </c>
      <c r="C7" s="24">
        <f>F29</f>
        <v>0</v>
      </c>
      <c r="D7" s="13">
        <f>F30</f>
        <v>0</v>
      </c>
      <c r="E7" s="13">
        <f>F31</f>
        <v>0</v>
      </c>
      <c r="F7" s="13">
        <f>F32</f>
        <v>0</v>
      </c>
      <c r="G7" s="13"/>
      <c r="H7" s="14"/>
      <c r="I7" s="13">
        <f>I29</f>
        <v>0.33557046979865773</v>
      </c>
      <c r="J7" s="13">
        <f>I30</f>
        <v>0.32573289902280134</v>
      </c>
      <c r="K7" s="13">
        <f>I31</f>
        <v>0.64655172413793105</v>
      </c>
      <c r="L7" s="13">
        <f>I32</f>
        <v>0</v>
      </c>
      <c r="M7" s="13"/>
      <c r="N7" s="13"/>
      <c r="O7" s="24">
        <f>L29</f>
        <v>0</v>
      </c>
      <c r="P7" s="13">
        <f>L30</f>
        <v>0</v>
      </c>
      <c r="Q7" s="13">
        <f>L31</f>
        <v>0</v>
      </c>
      <c r="R7" s="13">
        <f>L32</f>
        <v>0</v>
      </c>
      <c r="S7" s="13"/>
      <c r="T7" s="14"/>
    </row>
    <row r="8" spans="2:20" x14ac:dyDescent="0.25">
      <c r="B8" s="10" t="s">
        <v>8</v>
      </c>
      <c r="C8" s="24">
        <f>F38</f>
        <v>0</v>
      </c>
      <c r="D8" s="13">
        <f>F39</f>
        <v>0</v>
      </c>
      <c r="E8" s="13">
        <f>F40</f>
        <v>0</v>
      </c>
      <c r="F8" s="13">
        <f>F41</f>
        <v>0</v>
      </c>
      <c r="G8" s="13">
        <f>F42</f>
        <v>0</v>
      </c>
      <c r="H8" s="14"/>
      <c r="I8" s="13">
        <f>I38</f>
        <v>1</v>
      </c>
      <c r="J8" s="13">
        <f>I39</f>
        <v>1.2765957446808509</v>
      </c>
      <c r="K8" s="13">
        <f>I40</f>
        <v>3.4722222222222223</v>
      </c>
      <c r="L8" s="13">
        <f>I41</f>
        <v>5.8823529411764701</v>
      </c>
      <c r="M8" s="13">
        <f>I42</f>
        <v>0.64102564102564097</v>
      </c>
      <c r="N8" s="13"/>
      <c r="O8" s="24">
        <f>L38</f>
        <v>0</v>
      </c>
      <c r="P8" s="13">
        <f>L39</f>
        <v>0.42553191489361702</v>
      </c>
      <c r="Q8" s="13">
        <f>L40</f>
        <v>0</v>
      </c>
      <c r="R8" s="13">
        <f>L41</f>
        <v>1.1764705882352942</v>
      </c>
      <c r="S8" s="13">
        <f>L42</f>
        <v>0</v>
      </c>
      <c r="T8" s="14"/>
    </row>
    <row r="9" spans="2:20" x14ac:dyDescent="0.25">
      <c r="B9" s="10" t="s">
        <v>9</v>
      </c>
      <c r="C9" s="24">
        <f>F47</f>
        <v>0</v>
      </c>
      <c r="D9" s="13">
        <f>F48</f>
        <v>0</v>
      </c>
      <c r="E9" s="13">
        <f>F49</f>
        <v>0</v>
      </c>
      <c r="F9" s="13">
        <f>F50</f>
        <v>0</v>
      </c>
      <c r="G9" s="13">
        <f>F51</f>
        <v>0</v>
      </c>
      <c r="H9" s="14">
        <f>F52</f>
        <v>0</v>
      </c>
      <c r="I9" s="13">
        <f>I47</f>
        <v>0</v>
      </c>
      <c r="J9" s="13">
        <f>I48</f>
        <v>0</v>
      </c>
      <c r="K9" s="13">
        <f>I49</f>
        <v>0</v>
      </c>
      <c r="L9" s="13">
        <f>I50</f>
        <v>0.50377833753148615</v>
      </c>
      <c r="M9" s="13">
        <f>I51</f>
        <v>0.17985611510791369</v>
      </c>
      <c r="N9" s="13">
        <f>I52</f>
        <v>0.53191489361702127</v>
      </c>
      <c r="O9" s="24">
        <f>L47</f>
        <v>11.011904761904761</v>
      </c>
      <c r="P9" s="13">
        <f>L48</f>
        <v>13.120000000000001</v>
      </c>
      <c r="Q9" s="13">
        <f>L49</f>
        <v>11.538461538461538</v>
      </c>
      <c r="R9" s="13">
        <f>L50</f>
        <v>12.594458438287154</v>
      </c>
      <c r="S9" s="13">
        <f>L51</f>
        <v>10.611510791366907</v>
      </c>
      <c r="T9" s="14">
        <f>L52</f>
        <v>14.095744680851062</v>
      </c>
    </row>
    <row r="10" spans="2:20" x14ac:dyDescent="0.25">
      <c r="B10" s="10" t="s">
        <v>15</v>
      </c>
      <c r="C10" s="24">
        <f>F56</f>
        <v>6.6037735849056602</v>
      </c>
      <c r="D10" s="13">
        <f>F57</f>
        <v>11.988304093567251</v>
      </c>
      <c r="E10" s="15">
        <f>F58</f>
        <v>8.0074487895716953</v>
      </c>
      <c r="F10" s="15">
        <f>F59</f>
        <v>2.8037383177570092</v>
      </c>
      <c r="G10" s="15">
        <f>F60</f>
        <v>5.7017543859649118</v>
      </c>
      <c r="H10" s="25">
        <f>F61</f>
        <v>3.9106145251396649</v>
      </c>
      <c r="I10" s="15">
        <f>I56</f>
        <v>4.716981132075472</v>
      </c>
      <c r="J10" s="15">
        <f>I57</f>
        <v>7.6023391812865491</v>
      </c>
      <c r="K10" s="13">
        <f>I58</f>
        <v>2.6070763500931098</v>
      </c>
      <c r="L10" s="13">
        <f>I59</f>
        <v>4.2990654205607477</v>
      </c>
      <c r="M10" s="13">
        <f>I60</f>
        <v>4.6052631578947363</v>
      </c>
      <c r="N10" s="13">
        <f>I61</f>
        <v>9.3109869646182499</v>
      </c>
      <c r="O10" s="24">
        <f>L56</f>
        <v>0.75471698113207553</v>
      </c>
      <c r="P10" s="13">
        <f>L57</f>
        <v>1.6081871345029239</v>
      </c>
      <c r="Q10" s="13">
        <f>L58</f>
        <v>2.7932960893854748</v>
      </c>
      <c r="R10" s="13">
        <f>L59</f>
        <v>2.4299065420560746</v>
      </c>
      <c r="S10" s="13">
        <f>L60</f>
        <v>1.9736842105263157</v>
      </c>
      <c r="T10" s="14">
        <f>L61</f>
        <v>5.027932960893855</v>
      </c>
    </row>
    <row r="11" spans="2:20" x14ac:dyDescent="0.25">
      <c r="B11" s="10" t="s">
        <v>16</v>
      </c>
      <c r="C11" s="24">
        <f>F65</f>
        <v>7.2222222222222214</v>
      </c>
      <c r="D11" s="16">
        <f>F66</f>
        <v>14.479638009049776</v>
      </c>
      <c r="E11" s="7">
        <f>F67</f>
        <v>0</v>
      </c>
      <c r="F11" s="7">
        <f>F68</f>
        <v>5.025125628140704</v>
      </c>
      <c r="G11" s="8"/>
      <c r="H11" s="26"/>
      <c r="I11" s="8">
        <f>I65</f>
        <v>0.55555555555555558</v>
      </c>
      <c r="J11" s="15">
        <f>I66</f>
        <v>0.45248868778280549</v>
      </c>
      <c r="K11" s="13">
        <f>I67</f>
        <v>1.3824884792626728</v>
      </c>
      <c r="L11" s="13">
        <f>I68</f>
        <v>6.5326633165829149</v>
      </c>
      <c r="M11" s="13"/>
      <c r="N11" s="13"/>
      <c r="O11" s="24">
        <f>L65</f>
        <v>1.1111111111111112</v>
      </c>
      <c r="P11" s="13">
        <f>L66</f>
        <v>0.90497737556561098</v>
      </c>
      <c r="Q11" s="13">
        <f>L67</f>
        <v>0</v>
      </c>
      <c r="R11" s="13">
        <f>L68</f>
        <v>1.0050251256281406</v>
      </c>
      <c r="S11" s="13"/>
      <c r="T11" s="14"/>
    </row>
    <row r="12" spans="2:20" x14ac:dyDescent="0.25">
      <c r="B12" s="10" t="s">
        <v>12</v>
      </c>
      <c r="C12" s="24">
        <f>F74</f>
        <v>8.1521739130434785</v>
      </c>
      <c r="D12" s="16">
        <f>F75</f>
        <v>16.226415094339622</v>
      </c>
      <c r="E12" s="8">
        <f>F76</f>
        <v>15.196078431372548</v>
      </c>
      <c r="F12" s="8">
        <f>F77</f>
        <v>139.13043478260869</v>
      </c>
      <c r="G12" s="8"/>
      <c r="H12" s="26"/>
      <c r="I12" s="8">
        <f>I74</f>
        <v>2.9891304347826089</v>
      </c>
      <c r="J12" s="15">
        <f>I75</f>
        <v>12.452830188679245</v>
      </c>
      <c r="K12" s="13">
        <f>I76</f>
        <v>0.98039215686274506</v>
      </c>
      <c r="L12" s="13">
        <f>I77</f>
        <v>0</v>
      </c>
      <c r="M12" s="13"/>
      <c r="N12" s="13"/>
      <c r="O12" s="24">
        <f>L74</f>
        <v>1.9021739130434785</v>
      </c>
      <c r="P12" s="13">
        <f>L75</f>
        <v>0</v>
      </c>
      <c r="Q12" s="13">
        <f>L76</f>
        <v>7.3529411764705888</v>
      </c>
      <c r="R12" s="13">
        <f>L77</f>
        <v>0.72463768115942029</v>
      </c>
      <c r="S12" s="13"/>
      <c r="T12" s="14"/>
    </row>
    <row r="13" spans="2:20" x14ac:dyDescent="0.25">
      <c r="B13" s="10" t="s">
        <v>13</v>
      </c>
      <c r="C13" s="24">
        <f>F83</f>
        <v>0</v>
      </c>
      <c r="D13" s="16">
        <f>F84</f>
        <v>0</v>
      </c>
      <c r="E13" s="8">
        <f>F85</f>
        <v>3.6753445635528332</v>
      </c>
      <c r="F13" s="8">
        <f>F86</f>
        <v>0</v>
      </c>
      <c r="G13" s="8"/>
      <c r="H13" s="26"/>
      <c r="I13" s="8">
        <f>I83</f>
        <v>0.14204545454545456</v>
      </c>
      <c r="J13" s="15">
        <f>I84</f>
        <v>0.29154518950437319</v>
      </c>
      <c r="K13" s="13">
        <f>I85</f>
        <v>0.61255742725880558</v>
      </c>
      <c r="L13" s="13">
        <f>I86</f>
        <v>0.46728971962616817</v>
      </c>
      <c r="M13" s="13"/>
      <c r="N13" s="13"/>
      <c r="O13" s="24">
        <f>L83</f>
        <v>0</v>
      </c>
      <c r="P13" s="13">
        <f>L84</f>
        <v>0</v>
      </c>
      <c r="Q13" s="13">
        <f>L85</f>
        <v>0</v>
      </c>
      <c r="R13" s="13">
        <f>L86</f>
        <v>0</v>
      </c>
      <c r="S13" s="13"/>
      <c r="T13" s="14"/>
    </row>
    <row r="14" spans="2:20" ht="15.75" thickBot="1" x14ac:dyDescent="0.3">
      <c r="B14" s="17" t="s">
        <v>14</v>
      </c>
      <c r="C14" s="27"/>
      <c r="D14" s="19"/>
      <c r="E14" s="20">
        <f>F94</f>
        <v>1.729559748427673</v>
      </c>
      <c r="F14" s="20">
        <f>F95</f>
        <v>0.26246719160104987</v>
      </c>
      <c r="G14" s="20">
        <f>F96</f>
        <v>0</v>
      </c>
      <c r="H14" s="28">
        <f>F97</f>
        <v>0</v>
      </c>
      <c r="I14" s="20"/>
      <c r="J14" s="21"/>
      <c r="K14" s="18">
        <f>I94</f>
        <v>0.62893081761006298</v>
      </c>
      <c r="L14" s="18">
        <f>I95</f>
        <v>1.7060367454068242</v>
      </c>
      <c r="M14" s="18">
        <f>I96</f>
        <v>0.18450184501845018</v>
      </c>
      <c r="N14" s="18">
        <f>I97</f>
        <v>0.15822784810126583</v>
      </c>
      <c r="O14" s="27"/>
      <c r="P14" s="18"/>
      <c r="Q14" s="18">
        <f>L94</f>
        <v>2.2012578616352201</v>
      </c>
      <c r="R14" s="18">
        <f>L95</f>
        <v>5.3805774278215219</v>
      </c>
      <c r="S14" s="18">
        <f>L96</f>
        <v>7.195571955719557</v>
      </c>
      <c r="T14" s="22">
        <f>L97</f>
        <v>1.1075949367088607</v>
      </c>
    </row>
    <row r="15" spans="2:20" ht="12.6" customHeight="1" x14ac:dyDescent="0.25">
      <c r="D15" s="4"/>
      <c r="E15" s="6"/>
      <c r="F15" s="5"/>
      <c r="G15" s="5"/>
      <c r="H15" s="5"/>
      <c r="I15" s="5"/>
      <c r="J15" s="2"/>
    </row>
    <row r="16" spans="2:20" ht="12.6" customHeight="1" x14ac:dyDescent="0.25">
      <c r="D16" s="4"/>
      <c r="E16" s="4"/>
      <c r="F16" s="4"/>
      <c r="G16" s="4"/>
      <c r="H16" s="4"/>
      <c r="I16" s="4"/>
    </row>
    <row r="17" spans="2:12" ht="12.6" customHeight="1" x14ac:dyDescent="0.25">
      <c r="D17" s="4"/>
      <c r="E17" s="4"/>
      <c r="F17" s="4"/>
      <c r="G17" s="4"/>
      <c r="H17" s="4"/>
      <c r="I17" s="4"/>
    </row>
    <row r="18" spans="2:12" ht="12.6" customHeight="1" x14ac:dyDescent="0.25">
      <c r="D18" s="68" t="s">
        <v>4</v>
      </c>
      <c r="E18" s="68"/>
      <c r="F18" s="68"/>
      <c r="G18" s="69" t="s">
        <v>5</v>
      </c>
      <c r="H18" s="69"/>
      <c r="I18" s="69"/>
      <c r="J18" s="70" t="s">
        <v>6</v>
      </c>
      <c r="K18" s="70"/>
      <c r="L18" s="70"/>
    </row>
    <row r="19" spans="2:12" ht="12.6" customHeight="1" x14ac:dyDescent="0.25">
      <c r="D19" s="4" t="s">
        <v>1</v>
      </c>
      <c r="E19" s="4" t="s">
        <v>2</v>
      </c>
      <c r="F19" s="4" t="s">
        <v>3</v>
      </c>
      <c r="G19" s="4" t="s">
        <v>1</v>
      </c>
      <c r="H19" s="4" t="s">
        <v>2</v>
      </c>
      <c r="I19" s="4" t="s">
        <v>3</v>
      </c>
      <c r="J19" t="s">
        <v>1</v>
      </c>
      <c r="K19" t="s">
        <v>2</v>
      </c>
      <c r="L19" t="s">
        <v>3</v>
      </c>
    </row>
    <row r="20" spans="2:12" ht="12.6" customHeight="1" x14ac:dyDescent="0.25">
      <c r="B20" t="s">
        <v>0</v>
      </c>
      <c r="C20">
        <v>2005</v>
      </c>
      <c r="D20" s="4">
        <f>532+263</f>
        <v>795</v>
      </c>
      <c r="E20" s="4">
        <f>0</f>
        <v>0</v>
      </c>
      <c r="F20" s="3">
        <f>E20/D20*100</f>
        <v>0</v>
      </c>
      <c r="G20" s="4">
        <f>D20</f>
        <v>795</v>
      </c>
      <c r="H20" s="4">
        <v>10</v>
      </c>
      <c r="I20" s="3">
        <f>H20/G20*100</f>
        <v>1.257861635220126</v>
      </c>
      <c r="J20">
        <f>D20</f>
        <v>795</v>
      </c>
      <c r="K20">
        <f>1</f>
        <v>1</v>
      </c>
      <c r="L20" s="1">
        <f>K20/J20*100</f>
        <v>0.12578616352201258</v>
      </c>
    </row>
    <row r="21" spans="2:12" ht="12.6" customHeight="1" x14ac:dyDescent="0.25">
      <c r="C21">
        <v>2006</v>
      </c>
      <c r="D21" s="4">
        <f>398+241</f>
        <v>639</v>
      </c>
      <c r="E21" s="4">
        <f>0</f>
        <v>0</v>
      </c>
      <c r="F21" s="3">
        <f t="shared" ref="F21:F25" si="0">E21/D21*100</f>
        <v>0</v>
      </c>
      <c r="G21" s="4">
        <f t="shared" ref="G21:G25" si="1">D21</f>
        <v>639</v>
      </c>
      <c r="H21" s="4">
        <f>19+9</f>
        <v>28</v>
      </c>
      <c r="I21" s="3">
        <f t="shared" ref="I21:I25" si="2">H21/G21*100</f>
        <v>4.3818466353677623</v>
      </c>
      <c r="J21">
        <f t="shared" ref="J21:J25" si="3">D21</f>
        <v>639</v>
      </c>
      <c r="K21">
        <f>6+7</f>
        <v>13</v>
      </c>
      <c r="L21" s="1">
        <f t="shared" ref="L21:L25" si="4">K21/J21*100</f>
        <v>2.0344287949921753</v>
      </c>
    </row>
    <row r="22" spans="2:12" ht="12.6" customHeight="1" x14ac:dyDescent="0.25">
      <c r="C22">
        <v>2010</v>
      </c>
      <c r="D22" s="4">
        <f>281+382</f>
        <v>663</v>
      </c>
      <c r="E22" s="4">
        <f>0</f>
        <v>0</v>
      </c>
      <c r="F22" s="3">
        <f t="shared" si="0"/>
        <v>0</v>
      </c>
      <c r="G22" s="4">
        <f t="shared" si="1"/>
        <v>663</v>
      </c>
      <c r="H22" s="4">
        <f>11+11</f>
        <v>22</v>
      </c>
      <c r="I22" s="3">
        <f t="shared" si="2"/>
        <v>3.3182503770739067</v>
      </c>
      <c r="J22">
        <f t="shared" si="3"/>
        <v>663</v>
      </c>
      <c r="K22">
        <f>17+5</f>
        <v>22</v>
      </c>
      <c r="L22" s="1">
        <f t="shared" si="4"/>
        <v>3.3182503770739067</v>
      </c>
    </row>
    <row r="23" spans="2:12" ht="12.6" customHeight="1" x14ac:dyDescent="0.25">
      <c r="C23">
        <v>2012</v>
      </c>
      <c r="D23" s="4">
        <f>253+257</f>
        <v>510</v>
      </c>
      <c r="E23" s="4">
        <f>0</f>
        <v>0</v>
      </c>
      <c r="F23" s="3">
        <f t="shared" si="0"/>
        <v>0</v>
      </c>
      <c r="G23" s="4">
        <f t="shared" si="1"/>
        <v>510</v>
      </c>
      <c r="H23" s="4">
        <f>5+11</f>
        <v>16</v>
      </c>
      <c r="I23" s="3">
        <f t="shared" si="2"/>
        <v>3.1372549019607843</v>
      </c>
      <c r="J23">
        <f t="shared" si="3"/>
        <v>510</v>
      </c>
      <c r="K23">
        <f>13+7</f>
        <v>20</v>
      </c>
      <c r="L23" s="1">
        <f t="shared" si="4"/>
        <v>3.9215686274509802</v>
      </c>
    </row>
    <row r="24" spans="2:12" ht="12.6" customHeight="1" x14ac:dyDescent="0.25">
      <c r="C24">
        <v>2014</v>
      </c>
      <c r="D24" s="4">
        <f>210+192</f>
        <v>402</v>
      </c>
      <c r="E24" s="4">
        <f>0</f>
        <v>0</v>
      </c>
      <c r="F24" s="3">
        <f t="shared" si="0"/>
        <v>0</v>
      </c>
      <c r="G24" s="4">
        <f t="shared" si="1"/>
        <v>402</v>
      </c>
      <c r="H24" s="4">
        <f>6+13</f>
        <v>19</v>
      </c>
      <c r="I24" s="3">
        <f t="shared" si="2"/>
        <v>4.7263681592039797</v>
      </c>
      <c r="J24">
        <f t="shared" si="3"/>
        <v>402</v>
      </c>
      <c r="K24">
        <f>6+5</f>
        <v>11</v>
      </c>
      <c r="L24" s="1">
        <f t="shared" si="4"/>
        <v>2.7363184079601992</v>
      </c>
    </row>
    <row r="25" spans="2:12" ht="12.6" customHeight="1" x14ac:dyDescent="0.25">
      <c r="C25">
        <v>2016</v>
      </c>
      <c r="D25" s="4">
        <f>201+186</f>
        <v>387</v>
      </c>
      <c r="E25" s="4">
        <f>0</f>
        <v>0</v>
      </c>
      <c r="F25" s="3">
        <f t="shared" si="0"/>
        <v>0</v>
      </c>
      <c r="G25" s="4">
        <f t="shared" si="1"/>
        <v>387</v>
      </c>
      <c r="H25" s="4">
        <f>14+24</f>
        <v>38</v>
      </c>
      <c r="I25" s="3">
        <f t="shared" si="2"/>
        <v>9.819121447028424</v>
      </c>
      <c r="J25">
        <f t="shared" si="3"/>
        <v>387</v>
      </c>
      <c r="K25">
        <f>1+4</f>
        <v>5</v>
      </c>
      <c r="L25" s="1">
        <f t="shared" si="4"/>
        <v>1.2919896640826873</v>
      </c>
    </row>
    <row r="26" spans="2:12" ht="12.6" customHeight="1" x14ac:dyDescent="0.25">
      <c r="D26" s="4"/>
      <c r="E26" s="4"/>
      <c r="F26" s="4"/>
      <c r="G26" s="4"/>
      <c r="H26" s="4"/>
      <c r="I26" s="4"/>
    </row>
    <row r="27" spans="2:12" ht="12.6" customHeight="1" x14ac:dyDescent="0.25">
      <c r="B27" t="s">
        <v>7</v>
      </c>
      <c r="D27" s="68" t="s">
        <v>4</v>
      </c>
      <c r="E27" s="68"/>
      <c r="F27" s="68"/>
      <c r="G27" s="69" t="s">
        <v>5</v>
      </c>
      <c r="H27" s="69"/>
      <c r="I27" s="69"/>
      <c r="J27" s="70" t="s">
        <v>6</v>
      </c>
      <c r="K27" s="70"/>
      <c r="L27" s="70"/>
    </row>
    <row r="28" spans="2:12" ht="12.6" customHeight="1" x14ac:dyDescent="0.25">
      <c r="D28" s="4" t="s">
        <v>1</v>
      </c>
      <c r="E28" s="4" t="s">
        <v>2</v>
      </c>
      <c r="F28" s="4" t="s">
        <v>3</v>
      </c>
      <c r="G28" s="4" t="s">
        <v>1</v>
      </c>
      <c r="H28" s="4" t="s">
        <v>2</v>
      </c>
      <c r="I28" s="4" t="s">
        <v>3</v>
      </c>
      <c r="J28" t="s">
        <v>1</v>
      </c>
      <c r="K28" t="s">
        <v>2</v>
      </c>
      <c r="L28" t="s">
        <v>3</v>
      </c>
    </row>
    <row r="29" spans="2:12" ht="12.6" customHeight="1" x14ac:dyDescent="0.25">
      <c r="C29">
        <v>2005</v>
      </c>
      <c r="D29" s="4">
        <f>121+177</f>
        <v>298</v>
      </c>
      <c r="E29" s="4">
        <v>0</v>
      </c>
      <c r="F29" s="3">
        <f>E29/D29*100</f>
        <v>0</v>
      </c>
      <c r="G29" s="4">
        <f>D29</f>
        <v>298</v>
      </c>
      <c r="H29" s="4">
        <v>1</v>
      </c>
      <c r="I29" s="3">
        <f>H29/G29*100</f>
        <v>0.33557046979865773</v>
      </c>
      <c r="J29">
        <f>D29</f>
        <v>298</v>
      </c>
      <c r="K29">
        <v>0</v>
      </c>
      <c r="L29" s="1">
        <f>K29/J29*100</f>
        <v>0</v>
      </c>
    </row>
    <row r="30" spans="2:12" ht="12.6" customHeight="1" x14ac:dyDescent="0.25">
      <c r="C30">
        <v>2006</v>
      </c>
      <c r="D30" s="4">
        <f>254+360</f>
        <v>614</v>
      </c>
      <c r="E30" s="4">
        <f>0</f>
        <v>0</v>
      </c>
      <c r="F30" s="3">
        <f t="shared" ref="F30:F34" si="5">E30/D30*100</f>
        <v>0</v>
      </c>
      <c r="G30" s="4">
        <f t="shared" ref="G30:G32" si="6">D30</f>
        <v>614</v>
      </c>
      <c r="H30" s="4">
        <v>2</v>
      </c>
      <c r="I30" s="3">
        <f t="shared" ref="I30:I34" si="7">H30/G30*100</f>
        <v>0.32573289902280134</v>
      </c>
      <c r="J30">
        <f t="shared" ref="J30:J34" si="8">D30</f>
        <v>614</v>
      </c>
      <c r="K30">
        <v>0</v>
      </c>
      <c r="L30" s="1">
        <f t="shared" ref="L30:L34" si="9">K30/J30*100</f>
        <v>0</v>
      </c>
    </row>
    <row r="31" spans="2:12" ht="12.6" customHeight="1" x14ac:dyDescent="0.25">
      <c r="C31">
        <v>2010</v>
      </c>
      <c r="D31" s="4">
        <f>264+200</f>
        <v>464</v>
      </c>
      <c r="E31" s="4">
        <f>0</f>
        <v>0</v>
      </c>
      <c r="F31" s="3">
        <f t="shared" si="5"/>
        <v>0</v>
      </c>
      <c r="G31" s="4">
        <f t="shared" si="6"/>
        <v>464</v>
      </c>
      <c r="H31" s="4">
        <v>3</v>
      </c>
      <c r="I31" s="3">
        <f t="shared" si="7"/>
        <v>0.64655172413793105</v>
      </c>
      <c r="J31">
        <f t="shared" si="8"/>
        <v>464</v>
      </c>
      <c r="K31">
        <v>0</v>
      </c>
      <c r="L31" s="1">
        <f t="shared" si="9"/>
        <v>0</v>
      </c>
    </row>
    <row r="32" spans="2:12" ht="12.6" customHeight="1" x14ac:dyDescent="0.25">
      <c r="C32">
        <v>2012</v>
      </c>
      <c r="D32" s="4">
        <f>77+116</f>
        <v>193</v>
      </c>
      <c r="E32" s="4">
        <f>0</f>
        <v>0</v>
      </c>
      <c r="F32" s="3">
        <f t="shared" si="5"/>
        <v>0</v>
      </c>
      <c r="G32" s="4">
        <f t="shared" si="6"/>
        <v>193</v>
      </c>
      <c r="H32" s="4">
        <v>0</v>
      </c>
      <c r="I32" s="3">
        <f t="shared" si="7"/>
        <v>0</v>
      </c>
      <c r="J32">
        <f t="shared" si="8"/>
        <v>193</v>
      </c>
      <c r="K32">
        <v>0</v>
      </c>
      <c r="L32" s="1">
        <f t="shared" si="9"/>
        <v>0</v>
      </c>
    </row>
    <row r="33" spans="2:12" ht="12.6" customHeight="1" x14ac:dyDescent="0.25">
      <c r="C33">
        <v>2014</v>
      </c>
      <c r="D33" s="4"/>
      <c r="E33" s="4"/>
      <c r="F33" s="3" t="e">
        <f t="shared" si="5"/>
        <v>#DIV/0!</v>
      </c>
      <c r="G33" s="4">
        <f t="shared" ref="G33:G34" si="10">D33</f>
        <v>0</v>
      </c>
      <c r="H33" s="4"/>
      <c r="I33" s="3" t="e">
        <f t="shared" si="7"/>
        <v>#DIV/0!</v>
      </c>
      <c r="J33">
        <f t="shared" si="8"/>
        <v>0</v>
      </c>
      <c r="L33" s="1" t="e">
        <f t="shared" si="9"/>
        <v>#DIV/0!</v>
      </c>
    </row>
    <row r="34" spans="2:12" ht="12.6" customHeight="1" x14ac:dyDescent="0.25">
      <c r="C34">
        <v>2016</v>
      </c>
      <c r="D34" s="4"/>
      <c r="E34" s="4"/>
      <c r="F34" s="3" t="e">
        <f t="shared" si="5"/>
        <v>#DIV/0!</v>
      </c>
      <c r="G34" s="4">
        <f t="shared" si="10"/>
        <v>0</v>
      </c>
      <c r="H34" s="4"/>
      <c r="I34" s="3" t="e">
        <f t="shared" si="7"/>
        <v>#DIV/0!</v>
      </c>
      <c r="J34">
        <f t="shared" si="8"/>
        <v>0</v>
      </c>
      <c r="L34" s="1" t="e">
        <f t="shared" si="9"/>
        <v>#DIV/0!</v>
      </c>
    </row>
    <row r="35" spans="2:12" ht="12.6" customHeight="1" x14ac:dyDescent="0.25">
      <c r="D35" s="4"/>
      <c r="E35" s="4"/>
      <c r="F35" s="4"/>
      <c r="G35" s="4"/>
      <c r="H35" s="4"/>
      <c r="I35" s="4"/>
    </row>
    <row r="36" spans="2:12" ht="12.6" customHeight="1" x14ac:dyDescent="0.25">
      <c r="B36" t="s">
        <v>8</v>
      </c>
      <c r="D36" s="68" t="s">
        <v>4</v>
      </c>
      <c r="E36" s="68"/>
      <c r="F36" s="68"/>
      <c r="G36" s="69" t="s">
        <v>5</v>
      </c>
      <c r="H36" s="69"/>
      <c r="I36" s="69"/>
      <c r="J36" s="70" t="s">
        <v>6</v>
      </c>
      <c r="K36" s="70"/>
      <c r="L36" s="70"/>
    </row>
    <row r="37" spans="2:12" ht="12.6" customHeight="1" x14ac:dyDescent="0.25">
      <c r="D37" s="4" t="s">
        <v>1</v>
      </c>
      <c r="E37" s="4" t="s">
        <v>2</v>
      </c>
      <c r="F37" s="4" t="s">
        <v>3</v>
      </c>
      <c r="G37" s="4" t="s">
        <v>1</v>
      </c>
      <c r="H37" s="4" t="s">
        <v>2</v>
      </c>
      <c r="I37" s="4" t="s">
        <v>3</v>
      </c>
      <c r="J37" t="s">
        <v>1</v>
      </c>
      <c r="K37" t="s">
        <v>2</v>
      </c>
      <c r="L37" t="s">
        <v>3</v>
      </c>
    </row>
    <row r="38" spans="2:12" ht="12.6" customHeight="1" x14ac:dyDescent="0.25">
      <c r="C38">
        <v>2005</v>
      </c>
      <c r="D38" s="4">
        <v>300</v>
      </c>
      <c r="E38" s="4">
        <f>0</f>
        <v>0</v>
      </c>
      <c r="F38" s="3">
        <f>E38/D38*100</f>
        <v>0</v>
      </c>
      <c r="G38" s="4">
        <f>D38</f>
        <v>300</v>
      </c>
      <c r="H38" s="4">
        <v>3</v>
      </c>
      <c r="I38" s="3">
        <f>H38/G38*100</f>
        <v>1</v>
      </c>
      <c r="J38">
        <f>D38</f>
        <v>300</v>
      </c>
      <c r="K38">
        <v>0</v>
      </c>
      <c r="L38" s="1">
        <f>K38/J38*100</f>
        <v>0</v>
      </c>
    </row>
    <row r="39" spans="2:12" ht="12.6" customHeight="1" x14ac:dyDescent="0.25">
      <c r="C39">
        <v>2006</v>
      </c>
      <c r="D39" s="4">
        <v>235</v>
      </c>
      <c r="E39" s="4">
        <f>0</f>
        <v>0</v>
      </c>
      <c r="F39" s="3">
        <f t="shared" ref="F39:F43" si="11">E39/D39*100</f>
        <v>0</v>
      </c>
      <c r="G39" s="4">
        <f t="shared" ref="G39:G43" si="12">D39</f>
        <v>235</v>
      </c>
      <c r="H39" s="4">
        <v>3</v>
      </c>
      <c r="I39" s="3">
        <f t="shared" ref="I39:I43" si="13">H39/G39*100</f>
        <v>1.2765957446808509</v>
      </c>
      <c r="J39">
        <f t="shared" ref="J39:J43" si="14">D39</f>
        <v>235</v>
      </c>
      <c r="K39">
        <v>1</v>
      </c>
      <c r="L39" s="1">
        <f t="shared" ref="L39:L43" si="15">K39/J39*100</f>
        <v>0.42553191489361702</v>
      </c>
    </row>
    <row r="40" spans="2:12" ht="12.6" customHeight="1" x14ac:dyDescent="0.25">
      <c r="C40">
        <v>2010</v>
      </c>
      <c r="D40" s="4">
        <v>144</v>
      </c>
      <c r="E40" s="4">
        <f>0</f>
        <v>0</v>
      </c>
      <c r="F40" s="3">
        <f t="shared" si="11"/>
        <v>0</v>
      </c>
      <c r="G40" s="4">
        <f t="shared" si="12"/>
        <v>144</v>
      </c>
      <c r="H40" s="4">
        <v>5</v>
      </c>
      <c r="I40" s="3">
        <f t="shared" si="13"/>
        <v>3.4722222222222223</v>
      </c>
      <c r="J40">
        <f t="shared" si="14"/>
        <v>144</v>
      </c>
      <c r="K40">
        <v>0</v>
      </c>
      <c r="L40" s="1">
        <f t="shared" si="15"/>
        <v>0</v>
      </c>
    </row>
    <row r="41" spans="2:12" ht="12.6" customHeight="1" x14ac:dyDescent="0.25">
      <c r="C41">
        <v>2012</v>
      </c>
      <c r="D41" s="4">
        <v>85</v>
      </c>
      <c r="E41" s="4">
        <f>0</f>
        <v>0</v>
      </c>
      <c r="F41" s="3">
        <f t="shared" si="11"/>
        <v>0</v>
      </c>
      <c r="G41" s="4">
        <f t="shared" si="12"/>
        <v>85</v>
      </c>
      <c r="H41" s="4">
        <v>5</v>
      </c>
      <c r="I41" s="3">
        <f t="shared" si="13"/>
        <v>5.8823529411764701</v>
      </c>
      <c r="J41">
        <f t="shared" si="14"/>
        <v>85</v>
      </c>
      <c r="K41">
        <v>1</v>
      </c>
      <c r="L41" s="1">
        <f t="shared" si="15"/>
        <v>1.1764705882352942</v>
      </c>
    </row>
    <row r="42" spans="2:12" ht="12.6" customHeight="1" x14ac:dyDescent="0.25">
      <c r="C42">
        <v>2014</v>
      </c>
      <c r="D42" s="4">
        <v>156</v>
      </c>
      <c r="E42" s="4">
        <f>0</f>
        <v>0</v>
      </c>
      <c r="F42" s="3">
        <f t="shared" si="11"/>
        <v>0</v>
      </c>
      <c r="G42" s="4">
        <f t="shared" si="12"/>
        <v>156</v>
      </c>
      <c r="H42" s="4">
        <v>1</v>
      </c>
      <c r="I42" s="3">
        <f t="shared" si="13"/>
        <v>0.64102564102564097</v>
      </c>
      <c r="J42">
        <f t="shared" si="14"/>
        <v>156</v>
      </c>
      <c r="K42">
        <v>0</v>
      </c>
      <c r="L42" s="1">
        <f t="shared" si="15"/>
        <v>0</v>
      </c>
    </row>
    <row r="43" spans="2:12" ht="12.6" customHeight="1" x14ac:dyDescent="0.25">
      <c r="C43">
        <v>2016</v>
      </c>
      <c r="D43" s="4">
        <v>0</v>
      </c>
      <c r="E43" s="4">
        <f>0</f>
        <v>0</v>
      </c>
      <c r="F43" s="3" t="e">
        <f t="shared" si="11"/>
        <v>#DIV/0!</v>
      </c>
      <c r="G43" s="4">
        <f t="shared" si="12"/>
        <v>0</v>
      </c>
      <c r="H43" s="4"/>
      <c r="I43" s="3" t="e">
        <f t="shared" si="13"/>
        <v>#DIV/0!</v>
      </c>
      <c r="J43">
        <f t="shared" si="14"/>
        <v>0</v>
      </c>
      <c r="L43" s="1" t="e">
        <f t="shared" si="15"/>
        <v>#DIV/0!</v>
      </c>
    </row>
    <row r="44" spans="2:12" ht="12.6" customHeight="1" x14ac:dyDescent="0.25">
      <c r="D44" s="4"/>
      <c r="E44" s="4"/>
      <c r="F44" s="4"/>
      <c r="G44" s="4"/>
      <c r="H44" s="4"/>
      <c r="I44" s="4"/>
    </row>
    <row r="45" spans="2:12" ht="12.6" customHeight="1" x14ac:dyDescent="0.25">
      <c r="B45" t="s">
        <v>9</v>
      </c>
      <c r="D45" s="68" t="s">
        <v>4</v>
      </c>
      <c r="E45" s="68"/>
      <c r="F45" s="68"/>
      <c r="G45" s="69" t="s">
        <v>5</v>
      </c>
      <c r="H45" s="69"/>
      <c r="I45" s="69"/>
      <c r="J45" s="70" t="s">
        <v>6</v>
      </c>
      <c r="K45" s="70"/>
      <c r="L45" s="70"/>
    </row>
    <row r="46" spans="2:12" ht="12.6" customHeight="1" x14ac:dyDescent="0.25">
      <c r="D46" s="4" t="s">
        <v>1</v>
      </c>
      <c r="E46" s="4" t="s">
        <v>2</v>
      </c>
      <c r="F46" s="4" t="s">
        <v>3</v>
      </c>
      <c r="G46" s="4" t="s">
        <v>1</v>
      </c>
      <c r="H46" s="4" t="s">
        <v>2</v>
      </c>
      <c r="I46" s="4" t="s">
        <v>3</v>
      </c>
      <c r="J46" t="s">
        <v>1</v>
      </c>
      <c r="K46" t="s">
        <v>2</v>
      </c>
      <c r="L46" t="s">
        <v>3</v>
      </c>
    </row>
    <row r="47" spans="2:12" ht="12.6" customHeight="1" x14ac:dyDescent="0.25">
      <c r="C47">
        <v>2005</v>
      </c>
      <c r="D47" s="4">
        <f>364+308</f>
        <v>672</v>
      </c>
      <c r="E47" s="4">
        <f>0</f>
        <v>0</v>
      </c>
      <c r="F47" s="3">
        <f>E47/D47*100</f>
        <v>0</v>
      </c>
      <c r="G47" s="4">
        <f>D47</f>
        <v>672</v>
      </c>
      <c r="H47" s="4">
        <v>0</v>
      </c>
      <c r="I47" s="3">
        <f>H47/G47*100</f>
        <v>0</v>
      </c>
      <c r="J47">
        <f>D47</f>
        <v>672</v>
      </c>
      <c r="K47">
        <f>37+37</f>
        <v>74</v>
      </c>
      <c r="L47" s="1">
        <f>K47/J47*100</f>
        <v>11.011904761904761</v>
      </c>
    </row>
    <row r="48" spans="2:12" ht="12.6" customHeight="1" x14ac:dyDescent="0.25">
      <c r="C48">
        <v>2006</v>
      </c>
      <c r="D48" s="4">
        <f>259+366</f>
        <v>625</v>
      </c>
      <c r="E48" s="4">
        <f>0</f>
        <v>0</v>
      </c>
      <c r="F48" s="3">
        <f t="shared" ref="F48:F52" si="16">E48/D48*100</f>
        <v>0</v>
      </c>
      <c r="G48" s="4">
        <f t="shared" ref="G48:G52" si="17">D48</f>
        <v>625</v>
      </c>
      <c r="H48" s="4">
        <v>0</v>
      </c>
      <c r="I48" s="3">
        <f t="shared" ref="I48:I52" si="18">H48/G48*100</f>
        <v>0</v>
      </c>
      <c r="J48">
        <f t="shared" ref="J48:J52" si="19">D48</f>
        <v>625</v>
      </c>
      <c r="K48">
        <f>35+47</f>
        <v>82</v>
      </c>
      <c r="L48" s="1">
        <f t="shared" ref="L48:L52" si="20">K48/J48*100</f>
        <v>13.120000000000001</v>
      </c>
    </row>
    <row r="49" spans="2:12" ht="12.6" customHeight="1" x14ac:dyDescent="0.25">
      <c r="C49">
        <v>2010</v>
      </c>
      <c r="D49" s="4">
        <f>285+235</f>
        <v>520</v>
      </c>
      <c r="E49" s="4">
        <f>0</f>
        <v>0</v>
      </c>
      <c r="F49" s="3">
        <f t="shared" si="16"/>
        <v>0</v>
      </c>
      <c r="G49" s="4">
        <f t="shared" si="17"/>
        <v>520</v>
      </c>
      <c r="H49" s="4">
        <v>0</v>
      </c>
      <c r="I49" s="3">
        <f t="shared" si="18"/>
        <v>0</v>
      </c>
      <c r="J49">
        <f t="shared" si="19"/>
        <v>520</v>
      </c>
      <c r="K49">
        <f>26+34</f>
        <v>60</v>
      </c>
      <c r="L49" s="1">
        <f t="shared" si="20"/>
        <v>11.538461538461538</v>
      </c>
    </row>
    <row r="50" spans="2:12" ht="12.6" customHeight="1" x14ac:dyDescent="0.25">
      <c r="C50">
        <v>2012</v>
      </c>
      <c r="D50" s="4">
        <f>180+217</f>
        <v>397</v>
      </c>
      <c r="E50" s="4">
        <f>0</f>
        <v>0</v>
      </c>
      <c r="F50" s="3">
        <f t="shared" si="16"/>
        <v>0</v>
      </c>
      <c r="G50" s="4">
        <f t="shared" si="17"/>
        <v>397</v>
      </c>
      <c r="H50" s="4">
        <v>2</v>
      </c>
      <c r="I50" s="3">
        <f t="shared" si="18"/>
        <v>0.50377833753148615</v>
      </c>
      <c r="J50">
        <f t="shared" si="19"/>
        <v>397</v>
      </c>
      <c r="K50">
        <f>12+38</f>
        <v>50</v>
      </c>
      <c r="L50" s="1">
        <f t="shared" si="20"/>
        <v>12.594458438287154</v>
      </c>
    </row>
    <row r="51" spans="2:12" ht="12.6" customHeight="1" x14ac:dyDescent="0.25">
      <c r="C51">
        <v>2014</v>
      </c>
      <c r="D51" s="4">
        <f>157+192+207</f>
        <v>556</v>
      </c>
      <c r="E51" s="4">
        <f>0</f>
        <v>0</v>
      </c>
      <c r="F51" s="3">
        <f t="shared" si="16"/>
        <v>0</v>
      </c>
      <c r="G51" s="4">
        <f t="shared" si="17"/>
        <v>556</v>
      </c>
      <c r="H51" s="4">
        <v>1</v>
      </c>
      <c r="I51" s="3">
        <f t="shared" si="18"/>
        <v>0.17985611510791369</v>
      </c>
      <c r="J51">
        <f t="shared" si="19"/>
        <v>556</v>
      </c>
      <c r="K51">
        <f>48+5+6</f>
        <v>59</v>
      </c>
      <c r="L51" s="1">
        <f t="shared" si="20"/>
        <v>10.611510791366907</v>
      </c>
    </row>
    <row r="52" spans="2:12" ht="12.6" customHeight="1" x14ac:dyDescent="0.25">
      <c r="C52">
        <v>2016</v>
      </c>
      <c r="D52" s="4">
        <f>161+215</f>
        <v>376</v>
      </c>
      <c r="E52" s="4">
        <f>0</f>
        <v>0</v>
      </c>
      <c r="F52" s="3">
        <f t="shared" si="16"/>
        <v>0</v>
      </c>
      <c r="G52" s="4">
        <f t="shared" si="17"/>
        <v>376</v>
      </c>
      <c r="H52" s="4">
        <v>2</v>
      </c>
      <c r="I52" s="3">
        <f t="shared" si="18"/>
        <v>0.53191489361702127</v>
      </c>
      <c r="J52">
        <f t="shared" si="19"/>
        <v>376</v>
      </c>
      <c r="K52">
        <f>29+24</f>
        <v>53</v>
      </c>
      <c r="L52" s="1">
        <f t="shared" si="20"/>
        <v>14.095744680851062</v>
      </c>
    </row>
    <row r="53" spans="2:12" ht="12.6" customHeight="1" x14ac:dyDescent="0.25">
      <c r="D53" s="4"/>
      <c r="E53" s="4"/>
      <c r="F53" s="4"/>
      <c r="G53" s="4"/>
      <c r="H53" s="4"/>
      <c r="I53" s="4"/>
    </row>
    <row r="54" spans="2:12" ht="12.6" customHeight="1" x14ac:dyDescent="0.25">
      <c r="B54" t="s">
        <v>10</v>
      </c>
      <c r="D54" s="68" t="s">
        <v>4</v>
      </c>
      <c r="E54" s="68"/>
      <c r="F54" s="68"/>
      <c r="G54" s="69" t="s">
        <v>5</v>
      </c>
      <c r="H54" s="69"/>
      <c r="I54" s="69"/>
      <c r="J54" s="70" t="s">
        <v>6</v>
      </c>
      <c r="K54" s="70"/>
      <c r="L54" s="70"/>
    </row>
    <row r="55" spans="2:12" ht="12.6" customHeight="1" x14ac:dyDescent="0.25">
      <c r="D55" s="4" t="s">
        <v>1</v>
      </c>
      <c r="E55" s="4" t="s">
        <v>2</v>
      </c>
      <c r="F55" s="4" t="s">
        <v>3</v>
      </c>
      <c r="G55" s="4" t="s">
        <v>1</v>
      </c>
      <c r="H55" s="4" t="s">
        <v>2</v>
      </c>
      <c r="I55" s="4" t="s">
        <v>3</v>
      </c>
      <c r="J55" t="s">
        <v>1</v>
      </c>
      <c r="K55" t="s">
        <v>2</v>
      </c>
      <c r="L55" t="s">
        <v>3</v>
      </c>
    </row>
    <row r="56" spans="2:12" ht="12.6" customHeight="1" x14ac:dyDescent="0.25">
      <c r="C56">
        <v>2005</v>
      </c>
      <c r="D56" s="4">
        <f>330+200</f>
        <v>530</v>
      </c>
      <c r="E56" s="4">
        <f>22+13</f>
        <v>35</v>
      </c>
      <c r="F56" s="3">
        <f>E56/D56*100</f>
        <v>6.6037735849056602</v>
      </c>
      <c r="G56" s="4">
        <f>D56</f>
        <v>530</v>
      </c>
      <c r="H56" s="4">
        <f>1+24</f>
        <v>25</v>
      </c>
      <c r="I56" s="3">
        <f>H56/G56*100</f>
        <v>4.716981132075472</v>
      </c>
      <c r="J56">
        <f>D56</f>
        <v>530</v>
      </c>
      <c r="K56">
        <f>1+3</f>
        <v>4</v>
      </c>
      <c r="L56" s="1">
        <f>K56/J56*100</f>
        <v>0.75471698113207553</v>
      </c>
    </row>
    <row r="57" spans="2:12" ht="12.6" customHeight="1" x14ac:dyDescent="0.25">
      <c r="C57">
        <v>2006</v>
      </c>
      <c r="D57" s="4">
        <f>361+323</f>
        <v>684</v>
      </c>
      <c r="E57" s="4">
        <f>55+27</f>
        <v>82</v>
      </c>
      <c r="F57" s="3">
        <f t="shared" ref="F57:F61" si="21">E57/D57*100</f>
        <v>11.988304093567251</v>
      </c>
      <c r="G57" s="4">
        <f t="shared" ref="G57:G61" si="22">D57</f>
        <v>684</v>
      </c>
      <c r="H57" s="4">
        <f>23+29</f>
        <v>52</v>
      </c>
      <c r="I57" s="3">
        <f t="shared" ref="I57:I61" si="23">H57/G57*100</f>
        <v>7.6023391812865491</v>
      </c>
      <c r="J57">
        <f t="shared" ref="J57:J61" si="24">D57</f>
        <v>684</v>
      </c>
      <c r="K57">
        <f>11</f>
        <v>11</v>
      </c>
      <c r="L57" s="1">
        <f t="shared" ref="L57:L61" si="25">K57/J57*100</f>
        <v>1.6081871345029239</v>
      </c>
    </row>
    <row r="58" spans="2:12" ht="12.6" customHeight="1" x14ac:dyDescent="0.25">
      <c r="C58">
        <v>2010</v>
      </c>
      <c r="D58" s="4">
        <f>225+312</f>
        <v>537</v>
      </c>
      <c r="E58" s="4">
        <f>25+18</f>
        <v>43</v>
      </c>
      <c r="F58" s="3">
        <f t="shared" si="21"/>
        <v>8.0074487895716953</v>
      </c>
      <c r="G58" s="4">
        <f t="shared" si="22"/>
        <v>537</v>
      </c>
      <c r="H58" s="4">
        <f>5+9</f>
        <v>14</v>
      </c>
      <c r="I58" s="3">
        <f t="shared" si="23"/>
        <v>2.6070763500931098</v>
      </c>
      <c r="J58">
        <f t="shared" si="24"/>
        <v>537</v>
      </c>
      <c r="K58">
        <f>10+5</f>
        <v>15</v>
      </c>
      <c r="L58" s="1">
        <f t="shared" si="25"/>
        <v>2.7932960893854748</v>
      </c>
    </row>
    <row r="59" spans="2:12" ht="12.6" customHeight="1" x14ac:dyDescent="0.25">
      <c r="C59">
        <v>2012</v>
      </c>
      <c r="D59" s="4">
        <f>293+242</f>
        <v>535</v>
      </c>
      <c r="E59" s="4">
        <f>7+8</f>
        <v>15</v>
      </c>
      <c r="F59" s="3">
        <f t="shared" si="21"/>
        <v>2.8037383177570092</v>
      </c>
      <c r="G59" s="4">
        <f t="shared" si="22"/>
        <v>535</v>
      </c>
      <c r="H59" s="4">
        <f>1+22</f>
        <v>23</v>
      </c>
      <c r="I59" s="3">
        <f t="shared" si="23"/>
        <v>4.2990654205607477</v>
      </c>
      <c r="J59">
        <f t="shared" si="24"/>
        <v>535</v>
      </c>
      <c r="K59">
        <f>3+10</f>
        <v>13</v>
      </c>
      <c r="L59" s="1">
        <f t="shared" si="25"/>
        <v>2.4299065420560746</v>
      </c>
    </row>
    <row r="60" spans="2:12" ht="12.6" customHeight="1" x14ac:dyDescent="0.25">
      <c r="C60">
        <v>2014</v>
      </c>
      <c r="D60" s="4">
        <f>269+187</f>
        <v>456</v>
      </c>
      <c r="E60" s="4">
        <f>12+14</f>
        <v>26</v>
      </c>
      <c r="F60" s="3">
        <f t="shared" si="21"/>
        <v>5.7017543859649118</v>
      </c>
      <c r="G60" s="4">
        <f t="shared" si="22"/>
        <v>456</v>
      </c>
      <c r="H60" s="4">
        <f>14+7</f>
        <v>21</v>
      </c>
      <c r="I60" s="3">
        <f t="shared" si="23"/>
        <v>4.6052631578947363</v>
      </c>
      <c r="J60">
        <f t="shared" si="24"/>
        <v>456</v>
      </c>
      <c r="K60">
        <f>9</f>
        <v>9</v>
      </c>
      <c r="L60" s="1">
        <f t="shared" si="25"/>
        <v>1.9736842105263157</v>
      </c>
    </row>
    <row r="61" spans="2:12" ht="12.6" customHeight="1" x14ac:dyDescent="0.25">
      <c r="C61">
        <v>2016</v>
      </c>
      <c r="D61" s="4">
        <f>281+256</f>
        <v>537</v>
      </c>
      <c r="E61" s="4">
        <f>10+11</f>
        <v>21</v>
      </c>
      <c r="F61" s="3">
        <f t="shared" si="21"/>
        <v>3.9106145251396649</v>
      </c>
      <c r="G61" s="4">
        <f t="shared" si="22"/>
        <v>537</v>
      </c>
      <c r="H61" s="4">
        <f>25+25</f>
        <v>50</v>
      </c>
      <c r="I61" s="3">
        <f t="shared" si="23"/>
        <v>9.3109869646182499</v>
      </c>
      <c r="J61">
        <f t="shared" si="24"/>
        <v>537</v>
      </c>
      <c r="K61">
        <f>26+1</f>
        <v>27</v>
      </c>
      <c r="L61" s="1">
        <f t="shared" si="25"/>
        <v>5.027932960893855</v>
      </c>
    </row>
    <row r="62" spans="2:12" ht="12.6" customHeight="1" x14ac:dyDescent="0.25">
      <c r="D62" s="4"/>
      <c r="E62" s="4"/>
      <c r="F62" s="4"/>
      <c r="G62" s="4"/>
      <c r="H62" s="4"/>
      <c r="I62" s="4"/>
    </row>
    <row r="63" spans="2:12" ht="12.6" customHeight="1" x14ac:dyDescent="0.25">
      <c r="B63" t="s">
        <v>11</v>
      </c>
      <c r="D63" s="75" t="s">
        <v>4</v>
      </c>
      <c r="E63" s="75"/>
      <c r="F63" s="75"/>
      <c r="G63" s="71" t="s">
        <v>5</v>
      </c>
      <c r="H63" s="71"/>
      <c r="I63" s="71"/>
      <c r="J63" s="70" t="s">
        <v>6</v>
      </c>
      <c r="K63" s="70"/>
      <c r="L63" s="70"/>
    </row>
    <row r="64" spans="2:12" ht="12.6" customHeight="1" x14ac:dyDescent="0.25">
      <c r="D64" t="s">
        <v>1</v>
      </c>
      <c r="E64" t="s">
        <v>2</v>
      </c>
      <c r="F64" t="s">
        <v>3</v>
      </c>
      <c r="G64" t="s">
        <v>1</v>
      </c>
      <c r="H64" t="s">
        <v>2</v>
      </c>
      <c r="I64" t="s">
        <v>3</v>
      </c>
      <c r="J64" t="s">
        <v>1</v>
      </c>
      <c r="K64" t="s">
        <v>2</v>
      </c>
      <c r="L64" t="s">
        <v>3</v>
      </c>
    </row>
    <row r="65" spans="2:12" ht="12.6" customHeight="1" x14ac:dyDescent="0.25">
      <c r="C65">
        <v>2005</v>
      </c>
      <c r="D65">
        <v>180</v>
      </c>
      <c r="E65">
        <v>13</v>
      </c>
      <c r="F65" s="1">
        <f>E65/D65*100</f>
        <v>7.2222222222222214</v>
      </c>
      <c r="G65">
        <f>D65</f>
        <v>180</v>
      </c>
      <c r="H65">
        <v>1</v>
      </c>
      <c r="I65" s="1">
        <f>H65/G65*100</f>
        <v>0.55555555555555558</v>
      </c>
      <c r="J65">
        <f>D65</f>
        <v>180</v>
      </c>
      <c r="K65">
        <v>2</v>
      </c>
      <c r="L65" s="1">
        <f>K65/J65*100</f>
        <v>1.1111111111111112</v>
      </c>
    </row>
    <row r="66" spans="2:12" ht="12.6" customHeight="1" x14ac:dyDescent="0.25">
      <c r="C66">
        <v>2006</v>
      </c>
      <c r="D66">
        <v>221</v>
      </c>
      <c r="E66">
        <v>32</v>
      </c>
      <c r="F66" s="1">
        <f t="shared" ref="F66:F70" si="26">E66/D66*100</f>
        <v>14.479638009049776</v>
      </c>
      <c r="G66">
        <f t="shared" ref="G66:G70" si="27">D66</f>
        <v>221</v>
      </c>
      <c r="H66">
        <v>1</v>
      </c>
      <c r="I66" s="1">
        <f t="shared" ref="I66:I70" si="28">H66/G66*100</f>
        <v>0.45248868778280549</v>
      </c>
      <c r="J66">
        <f t="shared" ref="J66:J70" si="29">D66</f>
        <v>221</v>
      </c>
      <c r="K66">
        <v>2</v>
      </c>
      <c r="L66" s="1">
        <f t="shared" ref="L66:L70" si="30">K66/J66*100</f>
        <v>0.90497737556561098</v>
      </c>
    </row>
    <row r="67" spans="2:12" ht="12.6" customHeight="1" x14ac:dyDescent="0.25">
      <c r="C67">
        <v>2010</v>
      </c>
      <c r="D67">
        <v>217</v>
      </c>
      <c r="E67">
        <v>0</v>
      </c>
      <c r="F67" s="1">
        <f t="shared" si="26"/>
        <v>0</v>
      </c>
      <c r="G67">
        <f t="shared" si="27"/>
        <v>217</v>
      </c>
      <c r="H67">
        <v>3</v>
      </c>
      <c r="I67" s="1">
        <f t="shared" si="28"/>
        <v>1.3824884792626728</v>
      </c>
      <c r="J67">
        <f t="shared" si="29"/>
        <v>217</v>
      </c>
      <c r="K67">
        <v>0</v>
      </c>
      <c r="L67" s="1">
        <f t="shared" si="30"/>
        <v>0</v>
      </c>
    </row>
    <row r="68" spans="2:12" ht="12.6" customHeight="1" x14ac:dyDescent="0.25">
      <c r="C68">
        <v>2012</v>
      </c>
      <c r="D68">
        <v>199</v>
      </c>
      <c r="E68">
        <v>10</v>
      </c>
      <c r="F68" s="1">
        <f t="shared" si="26"/>
        <v>5.025125628140704</v>
      </c>
      <c r="G68">
        <f t="shared" si="27"/>
        <v>199</v>
      </c>
      <c r="H68">
        <v>13</v>
      </c>
      <c r="I68" s="1">
        <f t="shared" si="28"/>
        <v>6.5326633165829149</v>
      </c>
      <c r="J68">
        <f t="shared" si="29"/>
        <v>199</v>
      </c>
      <c r="K68">
        <v>2</v>
      </c>
      <c r="L68" s="1">
        <f t="shared" si="30"/>
        <v>1.0050251256281406</v>
      </c>
    </row>
    <row r="69" spans="2:12" ht="12.6" customHeight="1" x14ac:dyDescent="0.25">
      <c r="C69">
        <v>2014</v>
      </c>
      <c r="D69">
        <v>0</v>
      </c>
      <c r="F69" s="1" t="e">
        <f t="shared" si="26"/>
        <v>#DIV/0!</v>
      </c>
      <c r="G69">
        <f t="shared" si="27"/>
        <v>0</v>
      </c>
      <c r="I69" s="1" t="e">
        <f t="shared" si="28"/>
        <v>#DIV/0!</v>
      </c>
      <c r="J69">
        <f t="shared" si="29"/>
        <v>0</v>
      </c>
      <c r="L69" s="1" t="e">
        <f t="shared" si="30"/>
        <v>#DIV/0!</v>
      </c>
    </row>
    <row r="70" spans="2:12" ht="12.6" customHeight="1" x14ac:dyDescent="0.25">
      <c r="C70">
        <v>2016</v>
      </c>
      <c r="D70">
        <v>0</v>
      </c>
      <c r="F70" s="1" t="e">
        <f t="shared" si="26"/>
        <v>#DIV/0!</v>
      </c>
      <c r="G70">
        <f t="shared" si="27"/>
        <v>0</v>
      </c>
      <c r="I70" s="1" t="e">
        <f t="shared" si="28"/>
        <v>#DIV/0!</v>
      </c>
      <c r="J70">
        <f t="shared" si="29"/>
        <v>0</v>
      </c>
      <c r="L70" s="1" t="e">
        <f t="shared" si="30"/>
        <v>#DIV/0!</v>
      </c>
    </row>
    <row r="71" spans="2:12" ht="12.6" customHeight="1" x14ac:dyDescent="0.25"/>
    <row r="72" spans="2:12" ht="12.6" customHeight="1" x14ac:dyDescent="0.25">
      <c r="B72" t="s">
        <v>12</v>
      </c>
      <c r="D72" s="75" t="s">
        <v>4</v>
      </c>
      <c r="E72" s="75"/>
      <c r="F72" s="75"/>
      <c r="G72" s="71" t="s">
        <v>5</v>
      </c>
      <c r="H72" s="71"/>
      <c r="I72" s="71"/>
      <c r="J72" s="70" t="s">
        <v>6</v>
      </c>
      <c r="K72" s="70"/>
      <c r="L72" s="70"/>
    </row>
    <row r="73" spans="2:12" ht="12.6" customHeight="1" x14ac:dyDescent="0.25">
      <c r="D73" t="s">
        <v>1</v>
      </c>
      <c r="E73" t="s">
        <v>2</v>
      </c>
      <c r="F73" t="s">
        <v>3</v>
      </c>
      <c r="G73" t="s">
        <v>1</v>
      </c>
      <c r="H73" t="s">
        <v>2</v>
      </c>
      <c r="I73" t="s">
        <v>3</v>
      </c>
      <c r="J73" t="s">
        <v>1</v>
      </c>
      <c r="K73" t="s">
        <v>2</v>
      </c>
      <c r="L73" t="s">
        <v>3</v>
      </c>
    </row>
    <row r="74" spans="2:12" ht="12.6" customHeight="1" x14ac:dyDescent="0.25">
      <c r="C74">
        <v>2005</v>
      </c>
      <c r="D74">
        <v>368</v>
      </c>
      <c r="E74">
        <v>30</v>
      </c>
      <c r="F74" s="1">
        <f>E74/D74*100</f>
        <v>8.1521739130434785</v>
      </c>
      <c r="G74">
        <f>D74</f>
        <v>368</v>
      </c>
      <c r="H74">
        <v>11</v>
      </c>
      <c r="I74" s="1">
        <f>H74/G74*100</f>
        <v>2.9891304347826089</v>
      </c>
      <c r="J74">
        <f>D74</f>
        <v>368</v>
      </c>
      <c r="K74">
        <v>7</v>
      </c>
      <c r="L74" s="1">
        <f>K74/J74*100</f>
        <v>1.9021739130434785</v>
      </c>
    </row>
    <row r="75" spans="2:12" ht="12.6" customHeight="1" x14ac:dyDescent="0.25">
      <c r="C75">
        <v>2006</v>
      </c>
      <c r="D75">
        <v>265</v>
      </c>
      <c r="E75">
        <v>43</v>
      </c>
      <c r="F75" s="1">
        <f t="shared" ref="F75:F79" si="31">E75/D75*100</f>
        <v>16.226415094339622</v>
      </c>
      <c r="G75">
        <f t="shared" ref="G75:G79" si="32">D75</f>
        <v>265</v>
      </c>
      <c r="H75">
        <v>33</v>
      </c>
      <c r="I75" s="1">
        <f t="shared" ref="I75:I79" si="33">H75/G75*100</f>
        <v>12.452830188679245</v>
      </c>
      <c r="J75">
        <f t="shared" ref="J75:J77" si="34">D75</f>
        <v>265</v>
      </c>
      <c r="K75">
        <v>0</v>
      </c>
      <c r="L75" s="1">
        <f t="shared" ref="L75:L79" si="35">K75/J75*100</f>
        <v>0</v>
      </c>
    </row>
    <row r="76" spans="2:12" ht="12.6" customHeight="1" x14ac:dyDescent="0.25">
      <c r="C76">
        <v>2010</v>
      </c>
      <c r="D76">
        <v>204</v>
      </c>
      <c r="E76">
        <v>31</v>
      </c>
      <c r="F76" s="1">
        <f t="shared" si="31"/>
        <v>15.196078431372548</v>
      </c>
      <c r="G76">
        <f t="shared" si="32"/>
        <v>204</v>
      </c>
      <c r="H76">
        <v>2</v>
      </c>
      <c r="I76" s="1">
        <f t="shared" si="33"/>
        <v>0.98039215686274506</v>
      </c>
      <c r="J76">
        <f t="shared" si="34"/>
        <v>204</v>
      </c>
      <c r="K76">
        <v>15</v>
      </c>
      <c r="L76" s="1">
        <f t="shared" si="35"/>
        <v>7.3529411764705888</v>
      </c>
    </row>
    <row r="77" spans="2:12" ht="12.6" customHeight="1" x14ac:dyDescent="0.25">
      <c r="C77">
        <v>2012</v>
      </c>
      <c r="D77">
        <v>138</v>
      </c>
      <c r="E77">
        <v>192</v>
      </c>
      <c r="F77" s="1">
        <f t="shared" si="31"/>
        <v>139.13043478260869</v>
      </c>
      <c r="G77">
        <f t="shared" si="32"/>
        <v>138</v>
      </c>
      <c r="H77">
        <v>0</v>
      </c>
      <c r="I77" s="1">
        <f t="shared" si="33"/>
        <v>0</v>
      </c>
      <c r="J77">
        <f t="shared" si="34"/>
        <v>138</v>
      </c>
      <c r="K77">
        <v>1</v>
      </c>
      <c r="L77" s="1">
        <f t="shared" si="35"/>
        <v>0.72463768115942029</v>
      </c>
    </row>
    <row r="78" spans="2:12" ht="12.6" customHeight="1" x14ac:dyDescent="0.25">
      <c r="C78">
        <v>2014</v>
      </c>
      <c r="D78">
        <v>0</v>
      </c>
      <c r="F78" s="1" t="e">
        <f t="shared" si="31"/>
        <v>#DIV/0!</v>
      </c>
      <c r="G78">
        <f t="shared" si="32"/>
        <v>0</v>
      </c>
      <c r="I78" s="1" t="e">
        <f t="shared" si="33"/>
        <v>#DIV/0!</v>
      </c>
      <c r="L78" s="1" t="e">
        <f t="shared" si="35"/>
        <v>#DIV/0!</v>
      </c>
    </row>
    <row r="79" spans="2:12" ht="12.6" customHeight="1" x14ac:dyDescent="0.25">
      <c r="C79">
        <v>2016</v>
      </c>
      <c r="D79">
        <v>0</v>
      </c>
      <c r="F79" s="1" t="e">
        <f t="shared" si="31"/>
        <v>#DIV/0!</v>
      </c>
      <c r="G79">
        <f t="shared" si="32"/>
        <v>0</v>
      </c>
      <c r="I79" s="1" t="e">
        <f t="shared" si="33"/>
        <v>#DIV/0!</v>
      </c>
      <c r="L79" s="1" t="e">
        <f t="shared" si="35"/>
        <v>#DIV/0!</v>
      </c>
    </row>
    <row r="80" spans="2:12" ht="12.6" customHeight="1" x14ac:dyDescent="0.25"/>
    <row r="81" spans="2:12" x14ac:dyDescent="0.25">
      <c r="B81" t="s">
        <v>13</v>
      </c>
      <c r="D81" s="75" t="s">
        <v>4</v>
      </c>
      <c r="E81" s="75"/>
      <c r="F81" s="75"/>
      <c r="G81" s="71" t="s">
        <v>5</v>
      </c>
      <c r="H81" s="71"/>
      <c r="I81" s="71"/>
      <c r="J81" s="70" t="s">
        <v>6</v>
      </c>
      <c r="K81" s="70"/>
      <c r="L81" s="70"/>
    </row>
    <row r="82" spans="2:12" x14ac:dyDescent="0.25">
      <c r="D82" t="s">
        <v>1</v>
      </c>
      <c r="E82" t="s">
        <v>2</v>
      </c>
      <c r="F82" t="s">
        <v>3</v>
      </c>
      <c r="G82" t="s">
        <v>1</v>
      </c>
      <c r="H82" t="s">
        <v>2</v>
      </c>
      <c r="I82" t="s">
        <v>3</v>
      </c>
      <c r="J82" t="s">
        <v>1</v>
      </c>
      <c r="K82" t="s">
        <v>2</v>
      </c>
      <c r="L82" t="s">
        <v>3</v>
      </c>
    </row>
    <row r="83" spans="2:12" x14ac:dyDescent="0.25">
      <c r="C83">
        <v>2005</v>
      </c>
      <c r="D83">
        <f>332+298+74</f>
        <v>704</v>
      </c>
      <c r="E83">
        <v>0</v>
      </c>
      <c r="F83" s="1">
        <f>E83/D83*100</f>
        <v>0</v>
      </c>
      <c r="G83">
        <f>D83</f>
        <v>704</v>
      </c>
      <c r="H83">
        <v>1</v>
      </c>
      <c r="I83" s="1">
        <f>H83/G83*100</f>
        <v>0.14204545454545456</v>
      </c>
      <c r="J83">
        <f>D83</f>
        <v>704</v>
      </c>
      <c r="K83">
        <v>0</v>
      </c>
      <c r="L83" s="1">
        <f>K83/J83*100</f>
        <v>0</v>
      </c>
    </row>
    <row r="84" spans="2:12" x14ac:dyDescent="0.25">
      <c r="C84">
        <v>2006</v>
      </c>
      <c r="D84">
        <f>317+335+34</f>
        <v>686</v>
      </c>
      <c r="E84">
        <v>0</v>
      </c>
      <c r="F84" s="1">
        <f t="shared" ref="F84:F88" si="36">E84/D84*100</f>
        <v>0</v>
      </c>
      <c r="G84">
        <f t="shared" ref="G84:G88" si="37">D84</f>
        <v>686</v>
      </c>
      <c r="H84">
        <v>2</v>
      </c>
      <c r="I84" s="1">
        <f t="shared" ref="I84:I88" si="38">H84/G84*100</f>
        <v>0.29154518950437319</v>
      </c>
      <c r="J84">
        <f t="shared" ref="J84:J86" si="39">D84</f>
        <v>686</v>
      </c>
      <c r="K84">
        <v>0</v>
      </c>
      <c r="L84" s="1">
        <f t="shared" ref="L84:L88" si="40">K84/J84*100</f>
        <v>0</v>
      </c>
    </row>
    <row r="85" spans="2:12" x14ac:dyDescent="0.25">
      <c r="C85">
        <v>2010</v>
      </c>
      <c r="D85">
        <f>401+215+37</f>
        <v>653</v>
      </c>
      <c r="E85">
        <v>24</v>
      </c>
      <c r="F85" s="1">
        <f t="shared" si="36"/>
        <v>3.6753445635528332</v>
      </c>
      <c r="G85">
        <f t="shared" si="37"/>
        <v>653</v>
      </c>
      <c r="H85">
        <v>4</v>
      </c>
      <c r="I85" s="1">
        <f t="shared" si="38"/>
        <v>0.61255742725880558</v>
      </c>
      <c r="J85">
        <f t="shared" si="39"/>
        <v>653</v>
      </c>
      <c r="K85">
        <v>0</v>
      </c>
      <c r="L85" s="1">
        <f t="shared" si="40"/>
        <v>0</v>
      </c>
    </row>
    <row r="86" spans="2:12" x14ac:dyDescent="0.25">
      <c r="C86">
        <v>2012</v>
      </c>
      <c r="D86">
        <f>188+240</f>
        <v>428</v>
      </c>
      <c r="E86">
        <v>0</v>
      </c>
      <c r="F86" s="1">
        <f t="shared" si="36"/>
        <v>0</v>
      </c>
      <c r="G86">
        <f t="shared" si="37"/>
        <v>428</v>
      </c>
      <c r="H86">
        <v>2</v>
      </c>
      <c r="I86" s="1">
        <f t="shared" si="38"/>
        <v>0.46728971962616817</v>
      </c>
      <c r="J86">
        <f t="shared" si="39"/>
        <v>428</v>
      </c>
      <c r="K86">
        <v>0</v>
      </c>
      <c r="L86" s="1">
        <f t="shared" si="40"/>
        <v>0</v>
      </c>
    </row>
    <row r="87" spans="2:12" x14ac:dyDescent="0.25">
      <c r="C87">
        <v>2014</v>
      </c>
      <c r="D87">
        <v>0</v>
      </c>
      <c r="F87" s="1" t="e">
        <f t="shared" si="36"/>
        <v>#DIV/0!</v>
      </c>
      <c r="G87">
        <f t="shared" si="37"/>
        <v>0</v>
      </c>
      <c r="I87" s="1" t="e">
        <f t="shared" si="38"/>
        <v>#DIV/0!</v>
      </c>
      <c r="L87" s="1" t="e">
        <f t="shared" si="40"/>
        <v>#DIV/0!</v>
      </c>
    </row>
    <row r="88" spans="2:12" x14ac:dyDescent="0.25">
      <c r="C88">
        <v>2016</v>
      </c>
      <c r="D88">
        <v>0</v>
      </c>
      <c r="F88" s="1" t="e">
        <f t="shared" si="36"/>
        <v>#DIV/0!</v>
      </c>
      <c r="G88">
        <f t="shared" si="37"/>
        <v>0</v>
      </c>
      <c r="I88" s="1" t="e">
        <f t="shared" si="38"/>
        <v>#DIV/0!</v>
      </c>
      <c r="L88" s="1" t="e">
        <f t="shared" si="40"/>
        <v>#DIV/0!</v>
      </c>
    </row>
    <row r="90" spans="2:12" x14ac:dyDescent="0.25">
      <c r="B90" t="s">
        <v>14</v>
      </c>
      <c r="D90" s="75" t="s">
        <v>4</v>
      </c>
      <c r="E90" s="75"/>
      <c r="F90" s="75"/>
      <c r="G90" s="71" t="s">
        <v>5</v>
      </c>
      <c r="H90" s="71"/>
      <c r="I90" s="71"/>
      <c r="J90" s="70" t="s">
        <v>6</v>
      </c>
      <c r="K90" s="70"/>
      <c r="L90" s="70"/>
    </row>
    <row r="91" spans="2:12" x14ac:dyDescent="0.25">
      <c r="D91" t="s">
        <v>1</v>
      </c>
      <c r="E91" t="s">
        <v>2</v>
      </c>
      <c r="F91" t="s">
        <v>3</v>
      </c>
      <c r="G91" t="s">
        <v>1</v>
      </c>
      <c r="H91" t="s">
        <v>2</v>
      </c>
      <c r="I91" t="s">
        <v>3</v>
      </c>
      <c r="J91" t="s">
        <v>1</v>
      </c>
      <c r="K91" t="s">
        <v>2</v>
      </c>
      <c r="L91" t="s">
        <v>3</v>
      </c>
    </row>
    <row r="92" spans="2:12" x14ac:dyDescent="0.25">
      <c r="C92">
        <v>2005</v>
      </c>
      <c r="D92">
        <f>0</f>
        <v>0</v>
      </c>
      <c r="E92">
        <v>0</v>
      </c>
      <c r="F92" s="1" t="e">
        <f>E92/D92*100</f>
        <v>#DIV/0!</v>
      </c>
      <c r="G92">
        <f>D92</f>
        <v>0</v>
      </c>
      <c r="H92">
        <v>0</v>
      </c>
      <c r="I92" s="1" t="e">
        <f>H92/G92*100</f>
        <v>#DIV/0!</v>
      </c>
      <c r="J92">
        <f>D92</f>
        <v>0</v>
      </c>
      <c r="K92">
        <v>0</v>
      </c>
      <c r="L92" s="1" t="e">
        <f>K92/J92*100</f>
        <v>#DIV/0!</v>
      </c>
    </row>
    <row r="93" spans="2:12" x14ac:dyDescent="0.25">
      <c r="C93">
        <v>2006</v>
      </c>
      <c r="D93">
        <v>0</v>
      </c>
      <c r="E93">
        <v>0</v>
      </c>
      <c r="F93" s="1" t="e">
        <f t="shared" ref="F93:F97" si="41">E93/D93*100</f>
        <v>#DIV/0!</v>
      </c>
      <c r="G93">
        <f t="shared" ref="G93:G97" si="42">D93</f>
        <v>0</v>
      </c>
      <c r="H93">
        <v>0</v>
      </c>
      <c r="I93" s="1" t="e">
        <f t="shared" ref="I93:I97" si="43">H93/G93*100</f>
        <v>#DIV/0!</v>
      </c>
      <c r="J93">
        <f t="shared" ref="J93:J97" si="44">D93</f>
        <v>0</v>
      </c>
      <c r="K93">
        <v>0</v>
      </c>
      <c r="L93" s="1" t="e">
        <f t="shared" ref="L93:L97" si="45">K93/J93*100</f>
        <v>#DIV/0!</v>
      </c>
    </row>
    <row r="94" spans="2:12" x14ac:dyDescent="0.25">
      <c r="C94">
        <v>2010</v>
      </c>
      <c r="D94">
        <f>237+124+275</f>
        <v>636</v>
      </c>
      <c r="E94">
        <f>2+9</f>
        <v>11</v>
      </c>
      <c r="F94" s="1">
        <f t="shared" si="41"/>
        <v>1.729559748427673</v>
      </c>
      <c r="G94">
        <f t="shared" si="42"/>
        <v>636</v>
      </c>
      <c r="H94">
        <f>3+1</f>
        <v>4</v>
      </c>
      <c r="I94" s="1">
        <f t="shared" si="43"/>
        <v>0.62893081761006298</v>
      </c>
      <c r="J94">
        <f t="shared" si="44"/>
        <v>636</v>
      </c>
      <c r="K94">
        <f>2+12</f>
        <v>14</v>
      </c>
      <c r="L94" s="1">
        <f t="shared" si="45"/>
        <v>2.2012578616352201</v>
      </c>
    </row>
    <row r="95" spans="2:12" x14ac:dyDescent="0.25">
      <c r="C95">
        <v>2012</v>
      </c>
      <c r="D95">
        <f>384+168+210</f>
        <v>762</v>
      </c>
      <c r="E95">
        <f>1+1</f>
        <v>2</v>
      </c>
      <c r="F95" s="1">
        <f t="shared" si="41"/>
        <v>0.26246719160104987</v>
      </c>
      <c r="G95">
        <f t="shared" si="42"/>
        <v>762</v>
      </c>
      <c r="H95">
        <f>13</f>
        <v>13</v>
      </c>
      <c r="I95" s="1">
        <f t="shared" si="43"/>
        <v>1.7060367454068242</v>
      </c>
      <c r="J95">
        <f t="shared" si="44"/>
        <v>762</v>
      </c>
      <c r="K95">
        <f>7+34</f>
        <v>41</v>
      </c>
      <c r="L95" s="1">
        <f t="shared" si="45"/>
        <v>5.3805774278215219</v>
      </c>
    </row>
    <row r="96" spans="2:12" x14ac:dyDescent="0.25">
      <c r="C96">
        <v>2014</v>
      </c>
      <c r="D96">
        <f>196+193+153</f>
        <v>542</v>
      </c>
      <c r="E96">
        <f>0</f>
        <v>0</v>
      </c>
      <c r="F96" s="1">
        <f t="shared" si="41"/>
        <v>0</v>
      </c>
      <c r="G96">
        <f t="shared" si="42"/>
        <v>542</v>
      </c>
      <c r="H96">
        <f>1</f>
        <v>1</v>
      </c>
      <c r="I96" s="1">
        <f t="shared" si="43"/>
        <v>0.18450184501845018</v>
      </c>
      <c r="J96">
        <f t="shared" si="44"/>
        <v>542</v>
      </c>
      <c r="K96">
        <f>16+23</f>
        <v>39</v>
      </c>
      <c r="L96" s="1">
        <f t="shared" si="45"/>
        <v>7.195571955719557</v>
      </c>
    </row>
    <row r="97" spans="3:12" x14ac:dyDescent="0.25">
      <c r="C97">
        <v>2016</v>
      </c>
      <c r="D97">
        <f>299+144+189</f>
        <v>632</v>
      </c>
      <c r="E97">
        <v>0</v>
      </c>
      <c r="F97" s="1">
        <f t="shared" si="41"/>
        <v>0</v>
      </c>
      <c r="G97">
        <f t="shared" si="42"/>
        <v>632</v>
      </c>
      <c r="H97">
        <f>1</f>
        <v>1</v>
      </c>
      <c r="I97" s="1">
        <f t="shared" si="43"/>
        <v>0.15822784810126583</v>
      </c>
      <c r="J97">
        <f t="shared" si="44"/>
        <v>632</v>
      </c>
      <c r="K97">
        <f>7</f>
        <v>7</v>
      </c>
      <c r="L97" s="1">
        <f t="shared" si="45"/>
        <v>1.1075949367088607</v>
      </c>
    </row>
  </sheetData>
  <mergeCells count="30">
    <mergeCell ref="O4:T4"/>
    <mergeCell ref="D90:F90"/>
    <mergeCell ref="G90:I90"/>
    <mergeCell ref="J90:L90"/>
    <mergeCell ref="C4:H4"/>
    <mergeCell ref="I4:N4"/>
    <mergeCell ref="D72:F72"/>
    <mergeCell ref="G72:I72"/>
    <mergeCell ref="J72:L72"/>
    <mergeCell ref="D81:F81"/>
    <mergeCell ref="G81:I81"/>
    <mergeCell ref="J81:L81"/>
    <mergeCell ref="D54:F54"/>
    <mergeCell ref="G54:I54"/>
    <mergeCell ref="J54:L54"/>
    <mergeCell ref="D63:F63"/>
    <mergeCell ref="G63:I63"/>
    <mergeCell ref="J63:L63"/>
    <mergeCell ref="D36:F36"/>
    <mergeCell ref="G36:I36"/>
    <mergeCell ref="J36:L36"/>
    <mergeCell ref="D45:F45"/>
    <mergeCell ref="G45:I45"/>
    <mergeCell ref="J45:L45"/>
    <mergeCell ref="D18:F18"/>
    <mergeCell ref="G18:I18"/>
    <mergeCell ref="J18:L18"/>
    <mergeCell ref="D27:F27"/>
    <mergeCell ref="G27:I27"/>
    <mergeCell ref="J27:L27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A6C55-C580-4D6D-9483-6952B1071D04}">
  <dimension ref="A1:O25"/>
  <sheetViews>
    <sheetView tabSelected="1" zoomScale="145" zoomScaleNormal="145" workbookViewId="0">
      <selection activeCell="H7" sqref="H7"/>
    </sheetView>
  </sheetViews>
  <sheetFormatPr defaultRowHeight="15" x14ac:dyDescent="0.25"/>
  <cols>
    <col min="15" max="15" width="15.5703125" customWidth="1"/>
  </cols>
  <sheetData>
    <row r="1" spans="1:6" x14ac:dyDescent="0.25">
      <c r="B1" t="s">
        <v>36</v>
      </c>
    </row>
    <row r="2" spans="1:6" x14ac:dyDescent="0.25">
      <c r="B2" t="s">
        <v>25</v>
      </c>
      <c r="E2" t="s">
        <v>26</v>
      </c>
    </row>
    <row r="3" spans="1:6" x14ac:dyDescent="0.25">
      <c r="B3" t="s">
        <v>27</v>
      </c>
    </row>
    <row r="5" spans="1:6" ht="15.75" thickBot="1" x14ac:dyDescent="0.3">
      <c r="B5" t="s">
        <v>30</v>
      </c>
    </row>
    <row r="6" spans="1:6" x14ac:dyDescent="0.25">
      <c r="A6" t="s">
        <v>28</v>
      </c>
      <c r="B6" s="54"/>
      <c r="C6" s="61" t="s">
        <v>4</v>
      </c>
      <c r="D6" s="60" t="s">
        <v>5</v>
      </c>
      <c r="E6" s="59" t="s">
        <v>6</v>
      </c>
      <c r="F6" s="54" t="s">
        <v>29</v>
      </c>
    </row>
    <row r="7" spans="1:6" x14ac:dyDescent="0.25">
      <c r="B7" s="55">
        <v>2008</v>
      </c>
      <c r="C7" s="57">
        <v>163</v>
      </c>
      <c r="D7" s="41">
        <v>146</v>
      </c>
      <c r="E7" s="52">
        <v>38</v>
      </c>
      <c r="F7" s="55">
        <f>SUM(C7:E7)</f>
        <v>347</v>
      </c>
    </row>
    <row r="8" spans="1:6" x14ac:dyDescent="0.25">
      <c r="B8" s="55">
        <v>2009</v>
      </c>
      <c r="C8" s="57">
        <v>256</v>
      </c>
      <c r="D8" s="41">
        <v>197</v>
      </c>
      <c r="E8" s="52">
        <v>24</v>
      </c>
      <c r="F8" s="55">
        <f t="shared" ref="F8:F16" si="0">SUM(C8:E8)</f>
        <v>477</v>
      </c>
    </row>
    <row r="9" spans="1:6" x14ac:dyDescent="0.25">
      <c r="B9" s="55">
        <v>2010</v>
      </c>
      <c r="C9" s="57">
        <v>305</v>
      </c>
      <c r="D9" s="41">
        <v>166</v>
      </c>
      <c r="E9" s="52">
        <v>32</v>
      </c>
      <c r="F9" s="55">
        <f t="shared" si="0"/>
        <v>503</v>
      </c>
    </row>
    <row r="10" spans="1:6" x14ac:dyDescent="0.25">
      <c r="B10" s="55">
        <v>2011</v>
      </c>
      <c r="C10" s="57">
        <v>507</v>
      </c>
      <c r="D10" s="41">
        <v>106</v>
      </c>
      <c r="E10" s="52">
        <v>26</v>
      </c>
      <c r="F10" s="55">
        <f t="shared" si="0"/>
        <v>639</v>
      </c>
    </row>
    <row r="11" spans="1:6" x14ac:dyDescent="0.25">
      <c r="B11" s="55">
        <v>2012</v>
      </c>
      <c r="C11" s="57">
        <v>336</v>
      </c>
      <c r="D11" s="41">
        <v>316</v>
      </c>
      <c r="E11" s="52">
        <v>33</v>
      </c>
      <c r="F11" s="55">
        <f t="shared" si="0"/>
        <v>685</v>
      </c>
    </row>
    <row r="12" spans="1:6" x14ac:dyDescent="0.25">
      <c r="B12" s="55">
        <v>2013</v>
      </c>
      <c r="C12" s="57">
        <v>385</v>
      </c>
      <c r="D12" s="41">
        <v>177</v>
      </c>
      <c r="E12" s="52">
        <v>22</v>
      </c>
      <c r="F12" s="55">
        <f t="shared" si="0"/>
        <v>584</v>
      </c>
    </row>
    <row r="13" spans="1:6" x14ac:dyDescent="0.25">
      <c r="B13" s="55">
        <v>2014</v>
      </c>
      <c r="C13" s="57">
        <v>272</v>
      </c>
      <c r="D13" s="41">
        <v>190</v>
      </c>
      <c r="E13" s="52">
        <v>19</v>
      </c>
      <c r="F13" s="55">
        <f t="shared" si="0"/>
        <v>481</v>
      </c>
    </row>
    <row r="14" spans="1:6" x14ac:dyDescent="0.25">
      <c r="B14" s="55">
        <v>2015</v>
      </c>
      <c r="C14" s="57">
        <v>731</v>
      </c>
      <c r="D14" s="41">
        <v>85</v>
      </c>
      <c r="E14" s="52">
        <v>13</v>
      </c>
      <c r="F14" s="55">
        <f t="shared" si="0"/>
        <v>829</v>
      </c>
    </row>
    <row r="15" spans="1:6" x14ac:dyDescent="0.25">
      <c r="B15" s="55">
        <v>2016</v>
      </c>
      <c r="C15" s="57">
        <v>484</v>
      </c>
      <c r="D15" s="41">
        <v>128</v>
      </c>
      <c r="E15" s="52">
        <v>26</v>
      </c>
      <c r="F15" s="55">
        <f t="shared" si="0"/>
        <v>638</v>
      </c>
    </row>
    <row r="16" spans="1:6" ht="15.75" thickBot="1" x14ac:dyDescent="0.3">
      <c r="B16" s="56">
        <v>2017</v>
      </c>
      <c r="C16" s="58">
        <v>316</v>
      </c>
      <c r="D16" s="42">
        <v>109</v>
      </c>
      <c r="E16" s="53">
        <v>39</v>
      </c>
      <c r="F16" s="56">
        <f t="shared" si="0"/>
        <v>464</v>
      </c>
    </row>
    <row r="19" spans="1:15" ht="15.75" thickBot="1" x14ac:dyDescent="0.3">
      <c r="M19" s="43" t="s">
        <v>35</v>
      </c>
    </row>
    <row r="20" spans="1:15" x14ac:dyDescent="0.25">
      <c r="A20" t="s">
        <v>32</v>
      </c>
      <c r="B20" t="s">
        <v>31</v>
      </c>
    </row>
    <row r="21" spans="1:15" ht="15.75" thickBot="1" x14ac:dyDescent="0.3"/>
    <row r="22" spans="1:15" x14ac:dyDescent="0.25">
      <c r="B22" s="44" t="s">
        <v>33</v>
      </c>
      <c r="C22" s="45">
        <v>2005</v>
      </c>
      <c r="D22" s="45">
        <v>2006</v>
      </c>
      <c r="E22" s="45">
        <v>2007</v>
      </c>
      <c r="F22" s="45">
        <v>2008</v>
      </c>
      <c r="G22" s="45">
        <v>2009</v>
      </c>
      <c r="H22" s="45">
        <v>2010</v>
      </c>
      <c r="I22" s="45">
        <v>2011</v>
      </c>
      <c r="J22" s="45">
        <v>2012</v>
      </c>
      <c r="K22" s="45">
        <v>2013</v>
      </c>
      <c r="L22" s="45">
        <v>2014</v>
      </c>
      <c r="M22" s="45">
        <v>2015</v>
      </c>
      <c r="N22" s="45">
        <v>2016</v>
      </c>
      <c r="O22" s="46">
        <v>2017</v>
      </c>
    </row>
    <row r="23" spans="1:15" ht="15.75" thickBot="1" x14ac:dyDescent="0.3">
      <c r="B23" s="47" t="s">
        <v>4</v>
      </c>
      <c r="C23" s="42">
        <v>45</v>
      </c>
      <c r="D23" s="42">
        <v>131</v>
      </c>
      <c r="E23" s="42">
        <v>23</v>
      </c>
      <c r="F23" s="42">
        <v>23</v>
      </c>
      <c r="G23" s="42">
        <v>78</v>
      </c>
      <c r="H23" s="42">
        <v>78</v>
      </c>
      <c r="I23" s="42">
        <v>14</v>
      </c>
      <c r="J23" s="42">
        <v>39</v>
      </c>
      <c r="K23" s="42">
        <v>52</v>
      </c>
      <c r="L23" s="42">
        <v>23</v>
      </c>
      <c r="M23" s="42">
        <v>1</v>
      </c>
      <c r="N23" s="42">
        <v>33</v>
      </c>
      <c r="O23" s="51" t="s">
        <v>34</v>
      </c>
    </row>
    <row r="24" spans="1:15" x14ac:dyDescent="0.25">
      <c r="B24" s="49" t="s">
        <v>5</v>
      </c>
      <c r="C24" s="50">
        <v>0</v>
      </c>
      <c r="D24" s="50">
        <v>0</v>
      </c>
      <c r="E24" s="50" t="s">
        <v>34</v>
      </c>
      <c r="F24" s="50" t="s">
        <v>34</v>
      </c>
      <c r="G24" s="50">
        <v>0</v>
      </c>
      <c r="H24" s="50">
        <v>0</v>
      </c>
      <c r="I24" s="50">
        <v>0</v>
      </c>
      <c r="J24" s="50" t="s">
        <v>34</v>
      </c>
      <c r="K24" s="50">
        <v>282</v>
      </c>
      <c r="L24" s="50">
        <v>123</v>
      </c>
      <c r="M24" s="50">
        <v>2</v>
      </c>
      <c r="N24" s="50">
        <v>1</v>
      </c>
      <c r="O24" s="50" t="s">
        <v>34</v>
      </c>
    </row>
    <row r="25" spans="1:15" x14ac:dyDescent="0.25">
      <c r="B25" s="48" t="s">
        <v>6</v>
      </c>
      <c r="C25" s="41">
        <v>0</v>
      </c>
      <c r="D25" s="41">
        <v>0</v>
      </c>
      <c r="E25" s="41" t="s">
        <v>34</v>
      </c>
      <c r="F25" s="41" t="s">
        <v>34</v>
      </c>
      <c r="G25" s="41">
        <v>0</v>
      </c>
      <c r="H25" s="41">
        <v>0</v>
      </c>
      <c r="I25" s="41">
        <v>1</v>
      </c>
      <c r="J25" s="41" t="s">
        <v>34</v>
      </c>
      <c r="K25" s="41">
        <v>82</v>
      </c>
      <c r="L25" s="41">
        <v>87</v>
      </c>
      <c r="M25" s="41">
        <v>19</v>
      </c>
      <c r="N25" s="41">
        <v>3</v>
      </c>
      <c r="O25" s="41" t="s">
        <v>34</v>
      </c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B0281F3EE3054FA91BEB265A868BA4" ma:contentTypeVersion="13" ma:contentTypeDescription="Create a new document." ma:contentTypeScope="" ma:versionID="d33cd6b646080c3c300bd719f46b627e">
  <xsd:schema xmlns:xsd="http://www.w3.org/2001/XMLSchema" xmlns:xs="http://www.w3.org/2001/XMLSchema" xmlns:p="http://schemas.microsoft.com/office/2006/metadata/properties" xmlns:ns3="cc6de4c7-8526-40f9-9830-bae303b4b474" xmlns:ns4="60700310-1e95-4a2d-902b-55f378dec2fe" targetNamespace="http://schemas.microsoft.com/office/2006/metadata/properties" ma:root="true" ma:fieldsID="2de7bcdb98d2ee0b6dfe5de71b3b8100" ns3:_="" ns4:_="">
    <xsd:import namespace="cc6de4c7-8526-40f9-9830-bae303b4b474"/>
    <xsd:import namespace="60700310-1e95-4a2d-902b-55f378dec2f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Tags" minOccurs="0"/>
                <xsd:element ref="ns3:MediaServiceAutoKeyPoints" minOccurs="0"/>
                <xsd:element ref="ns3:MediaServiceKeyPoint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6de4c7-8526-40f9-9830-bae303b4b4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700310-1e95-4a2d-902b-55f378dec2f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CAE639-C26F-471C-96EE-FAFD02CF47D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01A90DC-A8A3-4B82-A357-91615F87828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21BB75-EAA1-4B41-8EE8-40817F541E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6de4c7-8526-40f9-9830-bae303b4b474"/>
    <ds:schemaRef ds:uri="60700310-1e95-4a2d-902b-55f378dec2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2.5.4 a</vt:lpstr>
      <vt:lpstr>2.5.4 b</vt:lpstr>
      <vt:lpstr>2.5.4 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Lilja Dögg</dc:creator>
  <cp:lastModifiedBy>Arnar Úlfarsson</cp:lastModifiedBy>
  <dcterms:created xsi:type="dcterms:W3CDTF">2018-12-18T12:16:34Z</dcterms:created>
  <dcterms:modified xsi:type="dcterms:W3CDTF">2020-05-14T23:51:38Z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0x01010055B0281F3EE3054FA91BEB265A868BA4</vt:lpwstr>
  </property>
</Properties>
</file>