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-my.sharepoint.com/personal/eythor_austurbru_is/Documents/Sjálfbærniverkefnið/"/>
    </mc:Choice>
  </mc:AlternateContent>
  <xr:revisionPtr revIDLastSave="0" documentId="8_{92ABA854-F0C9-4142-A069-F192DA309AC2}" xr6:coauthVersionLast="45" xr6:coauthVersionMax="45" xr10:uidLastSave="{00000000-0000-0000-0000-000000000000}"/>
  <bookViews>
    <workbookView xWindow="28680" yWindow="-5565" windowWidth="38640" windowHeight="21240" activeTab="2" xr2:uid="{95EE343A-A00D-435C-A1B6-23F75405F674}"/>
  </bookViews>
  <sheets>
    <sheet name="Frumgögn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0">Frumgögn!$1:$2</definedName>
    <definedName name="_xlnm.Print_Titles" localSheetId="1">Úrvinnsla!$1:$2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7" l="1"/>
  <c r="K40" i="7"/>
  <c r="B22" i="7"/>
  <c r="D22" i="7"/>
  <c r="N37" i="8" l="1"/>
  <c r="O37" i="8"/>
  <c r="P37" i="8"/>
  <c r="N38" i="8"/>
  <c r="O38" i="8"/>
  <c r="P38" i="8"/>
  <c r="N39" i="8"/>
  <c r="O39" i="8"/>
  <c r="P39" i="8"/>
  <c r="N40" i="8"/>
  <c r="O40" i="8"/>
  <c r="P40" i="8"/>
  <c r="N41" i="8"/>
  <c r="O41" i="8"/>
  <c r="P41" i="8"/>
  <c r="N42" i="8"/>
  <c r="O42" i="8"/>
  <c r="P42" i="8"/>
  <c r="N43" i="8"/>
  <c r="O43" i="8"/>
  <c r="P43" i="8"/>
  <c r="N44" i="8"/>
  <c r="O44" i="8"/>
  <c r="P44" i="8"/>
  <c r="N45" i="8"/>
  <c r="O45" i="8"/>
  <c r="P45" i="8"/>
  <c r="N46" i="8"/>
  <c r="O46" i="8"/>
  <c r="P46" i="8"/>
  <c r="N47" i="8"/>
  <c r="O47" i="8"/>
  <c r="P47" i="8"/>
  <c r="N48" i="8"/>
  <c r="O48" i="8"/>
  <c r="P48" i="8"/>
  <c r="N49" i="8"/>
  <c r="O49" i="8"/>
  <c r="P49" i="8"/>
  <c r="N50" i="8"/>
  <c r="O50" i="8"/>
  <c r="P50" i="8"/>
  <c r="N51" i="8"/>
  <c r="O51" i="8"/>
  <c r="P51" i="8"/>
  <c r="N52" i="8"/>
  <c r="O52" i="8"/>
  <c r="P52" i="8"/>
  <c r="O53" i="8"/>
  <c r="P53" i="8"/>
  <c r="O36" i="8"/>
  <c r="P36" i="8"/>
  <c r="N36" i="8"/>
  <c r="D53" i="8"/>
  <c r="C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D47" i="8"/>
  <c r="C47" i="8"/>
  <c r="B47" i="8"/>
  <c r="D46" i="8"/>
  <c r="C46" i="8"/>
  <c r="B46" i="8"/>
  <c r="D45" i="8"/>
  <c r="C45" i="8"/>
  <c r="B45" i="8"/>
  <c r="D44" i="8"/>
  <c r="C44" i="8"/>
  <c r="B44" i="8"/>
  <c r="D43" i="8"/>
  <c r="C43" i="8"/>
  <c r="B43" i="8"/>
  <c r="D42" i="8"/>
  <c r="C42" i="8"/>
  <c r="B42" i="8"/>
  <c r="D41" i="8"/>
  <c r="C41" i="8"/>
  <c r="B41" i="8"/>
  <c r="D40" i="8"/>
  <c r="C40" i="8"/>
  <c r="B40" i="8"/>
  <c r="D39" i="8"/>
  <c r="C39" i="8"/>
  <c r="B39" i="8"/>
  <c r="D38" i="8"/>
  <c r="C38" i="8"/>
  <c r="B38" i="8"/>
  <c r="D37" i="8"/>
  <c r="C37" i="8"/>
  <c r="B37" i="8"/>
  <c r="D36" i="8"/>
  <c r="C36" i="8"/>
  <c r="B36" i="8"/>
  <c r="N6" i="8"/>
  <c r="O6" i="8"/>
  <c r="N7" i="8"/>
  <c r="O7" i="8"/>
  <c r="N8" i="8"/>
  <c r="O8" i="8"/>
  <c r="N9" i="8"/>
  <c r="O9" i="8"/>
  <c r="N10" i="8"/>
  <c r="O10" i="8"/>
  <c r="N11" i="8"/>
  <c r="O11" i="8"/>
  <c r="N12" i="8"/>
  <c r="O12" i="8"/>
  <c r="N13" i="8"/>
  <c r="O13" i="8"/>
  <c r="N14" i="8"/>
  <c r="O14" i="8"/>
  <c r="N15" i="8"/>
  <c r="O15" i="8"/>
  <c r="N16" i="8"/>
  <c r="O16" i="8"/>
  <c r="N17" i="8"/>
  <c r="O17" i="8"/>
  <c r="N18" i="8"/>
  <c r="O18" i="8"/>
  <c r="N19" i="8"/>
  <c r="O19" i="8"/>
  <c r="N20" i="8"/>
  <c r="O20" i="8"/>
  <c r="N21" i="8"/>
  <c r="O21" i="8"/>
  <c r="N22" i="8"/>
  <c r="O22" i="8"/>
  <c r="O5" i="8"/>
  <c r="N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5" i="8"/>
  <c r="K51" i="7"/>
  <c r="L53" i="7"/>
  <c r="M53" i="7"/>
  <c r="N53" i="7"/>
  <c r="O53" i="7"/>
  <c r="F53" i="7"/>
  <c r="F52" i="7"/>
  <c r="E53" i="7"/>
  <c r="E52" i="7"/>
  <c r="D53" i="7"/>
  <c r="D52" i="7"/>
  <c r="C52" i="7"/>
  <c r="C53" i="7"/>
  <c r="B52" i="7"/>
  <c r="B36" i="7"/>
  <c r="M1" i="8" l="1"/>
  <c r="B37" i="7" l="1"/>
  <c r="K37" i="7" s="1"/>
  <c r="C37" i="7"/>
  <c r="L37" i="7" s="1"/>
  <c r="D37" i="7"/>
  <c r="M37" i="7" s="1"/>
  <c r="B38" i="7"/>
  <c r="K38" i="7" s="1"/>
  <c r="C38" i="7"/>
  <c r="L38" i="7" s="1"/>
  <c r="D38" i="7"/>
  <c r="M38" i="7" s="1"/>
  <c r="F38" i="7"/>
  <c r="O38" i="7" s="1"/>
  <c r="B39" i="7"/>
  <c r="K39" i="7" s="1"/>
  <c r="C39" i="7"/>
  <c r="L39" i="7" s="1"/>
  <c r="D39" i="7"/>
  <c r="M39" i="7" s="1"/>
  <c r="E39" i="7"/>
  <c r="N39" i="7" s="1"/>
  <c r="F39" i="7"/>
  <c r="O39" i="7" s="1"/>
  <c r="B40" i="7"/>
  <c r="C40" i="7"/>
  <c r="L40" i="7" s="1"/>
  <c r="M40" i="7"/>
  <c r="F40" i="7"/>
  <c r="O40" i="7" s="1"/>
  <c r="B41" i="7"/>
  <c r="K41" i="7" s="1"/>
  <c r="C41" i="7"/>
  <c r="L41" i="7" s="1"/>
  <c r="D41" i="7"/>
  <c r="M41" i="7" s="1"/>
  <c r="F41" i="7"/>
  <c r="O41" i="7" s="1"/>
  <c r="B42" i="7"/>
  <c r="K42" i="7" s="1"/>
  <c r="C42" i="7"/>
  <c r="L42" i="7" s="1"/>
  <c r="D42" i="7"/>
  <c r="M42" i="7" s="1"/>
  <c r="F42" i="7"/>
  <c r="O42" i="7" s="1"/>
  <c r="B43" i="7"/>
  <c r="K43" i="7" s="1"/>
  <c r="C43" i="7"/>
  <c r="L43" i="7" s="1"/>
  <c r="D43" i="7"/>
  <c r="M43" i="7" s="1"/>
  <c r="F43" i="7"/>
  <c r="O43" i="7" s="1"/>
  <c r="B44" i="7"/>
  <c r="K44" i="7" s="1"/>
  <c r="C44" i="7"/>
  <c r="L44" i="7" s="1"/>
  <c r="D44" i="7"/>
  <c r="M44" i="7" s="1"/>
  <c r="E44" i="7"/>
  <c r="N44" i="7" s="1"/>
  <c r="F44" i="7"/>
  <c r="O44" i="7" s="1"/>
  <c r="B45" i="7"/>
  <c r="K45" i="7" s="1"/>
  <c r="C45" i="7"/>
  <c r="L45" i="7" s="1"/>
  <c r="D45" i="7"/>
  <c r="M45" i="7" s="1"/>
  <c r="F45" i="7"/>
  <c r="O45" i="7" s="1"/>
  <c r="B46" i="7"/>
  <c r="K46" i="7" s="1"/>
  <c r="C46" i="7"/>
  <c r="L46" i="7" s="1"/>
  <c r="D46" i="7"/>
  <c r="M46" i="7" s="1"/>
  <c r="F46" i="7"/>
  <c r="O46" i="7" s="1"/>
  <c r="B47" i="7"/>
  <c r="K47" i="7" s="1"/>
  <c r="C47" i="7"/>
  <c r="L47" i="7" s="1"/>
  <c r="D47" i="7"/>
  <c r="M47" i="7" s="1"/>
  <c r="E47" i="7"/>
  <c r="N47" i="7" s="1"/>
  <c r="F47" i="7"/>
  <c r="O47" i="7" s="1"/>
  <c r="B48" i="7"/>
  <c r="K48" i="7" s="1"/>
  <c r="C48" i="7"/>
  <c r="L48" i="7" s="1"/>
  <c r="D48" i="7"/>
  <c r="M48" i="7" s="1"/>
  <c r="F48" i="7"/>
  <c r="O48" i="7" s="1"/>
  <c r="D36" i="7"/>
  <c r="M36" i="7" s="1"/>
  <c r="C36" i="7"/>
  <c r="L36" i="7" s="1"/>
  <c r="K36" i="7"/>
  <c r="P22" i="7"/>
  <c r="O22" i="7"/>
  <c r="G79" i="7" s="1"/>
  <c r="M22" i="7"/>
  <c r="L22" i="7"/>
  <c r="F79" i="7" s="1"/>
  <c r="J22" i="7"/>
  <c r="I22" i="7"/>
  <c r="E79" i="7" s="1"/>
  <c r="G22" i="7"/>
  <c r="F22" i="7"/>
  <c r="C22" i="7"/>
  <c r="C79" i="7" s="1"/>
  <c r="P20" i="7"/>
  <c r="O20" i="7"/>
  <c r="M20" i="7"/>
  <c r="L20" i="7"/>
  <c r="J20" i="7"/>
  <c r="I20" i="7"/>
  <c r="G20" i="7"/>
  <c r="F20" i="7"/>
  <c r="D20" i="7"/>
  <c r="C20" i="7"/>
  <c r="P19" i="7"/>
  <c r="O19" i="7"/>
  <c r="N19" i="7" s="1"/>
  <c r="F50" i="7" s="1"/>
  <c r="O50" i="7" s="1"/>
  <c r="M19" i="7"/>
  <c r="L19" i="7"/>
  <c r="J19" i="7"/>
  <c r="I19" i="7"/>
  <c r="G19" i="7"/>
  <c r="F19" i="7"/>
  <c r="D19" i="7"/>
  <c r="C19" i="7"/>
  <c r="P18" i="7"/>
  <c r="O18" i="7"/>
  <c r="M18" i="7"/>
  <c r="L18" i="7"/>
  <c r="J18" i="7"/>
  <c r="I18" i="7"/>
  <c r="G18" i="7"/>
  <c r="F18" i="7"/>
  <c r="D18" i="7"/>
  <c r="C18" i="7"/>
  <c r="M17" i="7"/>
  <c r="L17" i="7"/>
  <c r="M16" i="7"/>
  <c r="L16" i="7"/>
  <c r="K16" i="7"/>
  <c r="P15" i="7"/>
  <c r="L15" i="7"/>
  <c r="K15" i="7"/>
  <c r="E46" i="7" s="1"/>
  <c r="N46" i="7" s="1"/>
  <c r="J15" i="7"/>
  <c r="G15" i="7"/>
  <c r="D15" i="7"/>
  <c r="P14" i="7"/>
  <c r="L14" i="7"/>
  <c r="K14" i="7"/>
  <c r="E45" i="7" s="1"/>
  <c r="N45" i="7" s="1"/>
  <c r="J14" i="7"/>
  <c r="G14" i="7"/>
  <c r="D14" i="7"/>
  <c r="P13" i="7"/>
  <c r="L13" i="7"/>
  <c r="K13" i="7"/>
  <c r="J13" i="7"/>
  <c r="G13" i="7"/>
  <c r="D13" i="7"/>
  <c r="P12" i="7"/>
  <c r="L12" i="7"/>
  <c r="K12" i="7"/>
  <c r="E43" i="7" s="1"/>
  <c r="N43" i="7" s="1"/>
  <c r="J12" i="7"/>
  <c r="G12" i="7"/>
  <c r="D12" i="7"/>
  <c r="P11" i="7"/>
  <c r="L11" i="7"/>
  <c r="K11" i="7"/>
  <c r="E42" i="7" s="1"/>
  <c r="N42" i="7" s="1"/>
  <c r="J11" i="7"/>
  <c r="G11" i="7"/>
  <c r="D11" i="7"/>
  <c r="P10" i="7"/>
  <c r="L10" i="7"/>
  <c r="K10" i="7"/>
  <c r="E41" i="7" s="1"/>
  <c r="N41" i="7" s="1"/>
  <c r="J10" i="7"/>
  <c r="G10" i="7"/>
  <c r="D10" i="7"/>
  <c r="P9" i="7"/>
  <c r="L9" i="7"/>
  <c r="K9" i="7"/>
  <c r="E40" i="7" s="1"/>
  <c r="N40" i="7" s="1"/>
  <c r="J9" i="7"/>
  <c r="G9" i="7"/>
  <c r="D9" i="7"/>
  <c r="P8" i="7"/>
  <c r="L8" i="7"/>
  <c r="K8" i="7"/>
  <c r="J8" i="7"/>
  <c r="G8" i="7"/>
  <c r="D8" i="7"/>
  <c r="P7" i="7"/>
  <c r="L7" i="7"/>
  <c r="K7" i="7"/>
  <c r="E38" i="7" s="1"/>
  <c r="N38" i="7" s="1"/>
  <c r="J7" i="7"/>
  <c r="G7" i="7"/>
  <c r="D7" i="7"/>
  <c r="N6" i="7"/>
  <c r="P6" i="7" s="1"/>
  <c r="L6" i="7"/>
  <c r="K6" i="7"/>
  <c r="E37" i="7" s="1"/>
  <c r="N37" i="7" s="1"/>
  <c r="J6" i="7"/>
  <c r="G6" i="7"/>
  <c r="D6" i="7"/>
  <c r="N5" i="7"/>
  <c r="P5" i="7" s="1"/>
  <c r="L5" i="7"/>
  <c r="K5" i="7"/>
  <c r="E36" i="7" s="1"/>
  <c r="N36" i="7" s="1"/>
  <c r="J5" i="7"/>
  <c r="G5" i="7"/>
  <c r="D5" i="7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Q103" i="3" l="1"/>
  <c r="H103" i="3"/>
  <c r="W103" i="3"/>
  <c r="G103" i="3"/>
  <c r="F37" i="7"/>
  <c r="O37" i="7" s="1"/>
  <c r="P103" i="3"/>
  <c r="F36" i="7"/>
  <c r="O36" i="7" s="1"/>
  <c r="J103" i="3"/>
  <c r="R103" i="3"/>
  <c r="D103" i="3"/>
  <c r="K18" i="7"/>
  <c r="E49" i="7" s="1"/>
  <c r="N49" i="7" s="1"/>
  <c r="E103" i="3"/>
  <c r="O103" i="3"/>
  <c r="K103" i="3"/>
  <c r="L103" i="3"/>
  <c r="F103" i="3"/>
  <c r="V103" i="3"/>
  <c r="E22" i="7"/>
  <c r="L52" i="7" s="1"/>
  <c r="D79" i="7"/>
  <c r="M103" i="3"/>
  <c r="U103" i="3"/>
  <c r="N103" i="3"/>
  <c r="I103" i="3"/>
  <c r="C103" i="3"/>
  <c r="S103" i="3"/>
  <c r="T103" i="3"/>
  <c r="X103" i="3"/>
  <c r="E18" i="7"/>
  <c r="C49" i="7" s="1"/>
  <c r="L49" i="7" s="1"/>
  <c r="H20" i="7"/>
  <c r="D51" i="7" s="1"/>
  <c r="M51" i="7" s="1"/>
  <c r="K17" i="7"/>
  <c r="E48" i="7" s="1"/>
  <c r="N48" i="7" s="1"/>
  <c r="B19" i="7"/>
  <c r="B50" i="7" s="1"/>
  <c r="K50" i="7" s="1"/>
  <c r="E19" i="7"/>
  <c r="C50" i="7" s="1"/>
  <c r="L50" i="7" s="1"/>
  <c r="M12" i="7"/>
  <c r="E20" i="7"/>
  <c r="C51" i="7" s="1"/>
  <c r="L51" i="7" s="1"/>
  <c r="B18" i="7"/>
  <c r="B49" i="7" s="1"/>
  <c r="K49" i="7" s="1"/>
  <c r="M6" i="7"/>
  <c r="M14" i="7"/>
  <c r="K19" i="7"/>
  <c r="E50" i="7" s="1"/>
  <c r="N50" i="7" s="1"/>
  <c r="M8" i="7"/>
  <c r="M11" i="7"/>
  <c r="H19" i="7"/>
  <c r="D50" i="7" s="1"/>
  <c r="M50" i="7" s="1"/>
  <c r="N20" i="7"/>
  <c r="F51" i="7" s="1"/>
  <c r="O51" i="7" s="1"/>
  <c r="H18" i="7"/>
  <c r="D49" i="7" s="1"/>
  <c r="M49" i="7" s="1"/>
  <c r="M15" i="7"/>
  <c r="B20" i="7"/>
  <c r="B51" i="7" s="1"/>
  <c r="N18" i="7"/>
  <c r="F49" i="7" s="1"/>
  <c r="O49" i="7" s="1"/>
  <c r="M9" i="7"/>
  <c r="K20" i="7"/>
  <c r="E51" i="7" s="1"/>
  <c r="N51" i="7" s="1"/>
  <c r="M7" i="7"/>
  <c r="M5" i="7"/>
  <c r="M10" i="7"/>
  <c r="M13" i="7"/>
  <c r="N22" i="7"/>
  <c r="O52" i="7" s="1"/>
  <c r="K22" i="7"/>
  <c r="N52" i="7" s="1"/>
  <c r="H22" i="7"/>
  <c r="M52" i="7" s="1"/>
  <c r="K52" i="7" l="1"/>
  <c r="B53" i="7"/>
  <c r="A1" i="8"/>
  <c r="K1" i="7"/>
  <c r="A1" i="7"/>
  <c r="K53" i="7" l="1"/>
  <c r="B53" i="8" s="1"/>
  <c r="N53" i="8"/>
  <c r="M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Sigrún</author>
    <author>Arnar Úlfarsson</author>
  </authors>
  <commentList>
    <comment ref="K5" authorId="0" shapeId="0" xr:uid="{2BB244E1-1DD2-49E8-A030-40F5B6EBD9BC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658705
Mjóafjarðarhreppur: 6326
Fáskrúðsfjarðarhreppur: 10302
Búðahreppur:  118994
Stöðvarhreppur:  45033
Breiðdalshr: 45075
</t>
        </r>
      </text>
    </comment>
    <comment ref="L5" authorId="0" shapeId="0" xr:uid="{3497D8DB-DD8D-4A2A-BA9F-3F8E07D9A920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700076
Mjóafjarðarhreppur: 6723
Fáskrúðsfjarðarhreppur: 10967
Búðahreppur:  126468
Stöðvarhreppur:  47861
Breiðdalshr: 47906
</t>
        </r>
      </text>
    </comment>
    <comment ref="M5" authorId="1" shapeId="0" xr:uid="{6E0A6690-A9BC-4E7F-9A2E-190FD7A47FA3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52734
Breiðdalshr: 2831
</t>
        </r>
      </text>
    </comment>
    <comment ref="N5" authorId="0" shapeId="0" xr:uid="{DCB3FF9C-B5F2-4D88-9427-28719AEDCBBE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69114
Norður Hérað: 36580
Austurhérað:  352190
</t>
        </r>
      </text>
    </comment>
    <comment ref="O5" authorId="0" shapeId="0" xr:uid="{BEBC0B7C-3B79-4951-93A5-356BFF050F82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73455
Norður Hérað: 38941
Austurhérað:  374309
</t>
        </r>
      </text>
    </comment>
    <comment ref="K6" authorId="0" shapeId="0" xr:uid="{4A130E41-814A-4EA7-AF59-DF0F0305C005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680271
Mjóafjarðarhreppur: 7498
Fáskrúðsfjarðarhreppur: 8094
Austurbyggð:  175810
Breiðdalshr: 45211
</t>
        </r>
      </text>
    </comment>
    <comment ref="L6" authorId="0" shapeId="0" xr:uid="{7233541C-7FC6-4211-8134-0AC006737CAB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722996
Mjóafjarðarhreppur: 7969
Fáskrúðsfjarðarhreppur: 8616
Austurbyggð:  186852
Breiðdalshr: 48050
</t>
        </r>
      </text>
    </comment>
    <comment ref="M6" authorId="1" shapeId="0" xr:uid="{683933EF-CEBA-4955-80A9-20535D210E95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54760
Breiðdalshr: 2839</t>
        </r>
      </text>
    </comment>
    <comment ref="N6" authorId="0" shapeId="0" xr:uid="{629A4681-1A77-4414-9AE9-7F43C3011837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84047
Norður Hérað: 118671
Austurhérað:  402381
</t>
        </r>
      </text>
    </comment>
    <comment ref="O6" authorId="0" shapeId="0" xr:uid="{05C0DB2A-DB0B-4776-A3CA-29E62F186DC5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89326
Norður Hérað: 126142
Austurhérað:  427653
</t>
        </r>
      </text>
    </comment>
    <comment ref="K7" authorId="0" shapeId="0" xr:uid="{09C5EF4B-8059-48B1-973F-ED6831313E9E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749450
Mjóafjarðarhreppur: 8880
Fáskrúðsfjarðarhreppur: 8085
Austurbyggð:  187559
Breiðdalshr: 46630
</t>
        </r>
      </text>
    </comment>
    <comment ref="L7" authorId="0" shapeId="0" xr:uid="{18ED0F03-1387-43A5-B777-26BAB7272AC3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796520
Mjóafjarðarhreppur: 9438
Fáskrúðsfjarðarhreppur: 8607
Austurbyggð:  199339
Breiðdalshr: 49559
</t>
        </r>
      </text>
    </comment>
    <comment ref="M7" authorId="1" shapeId="0" xr:uid="{DB18EAE8-51B7-41AB-B0D9-ABB9363112EF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59929
Breiðdalshr: 2929</t>
        </r>
      </text>
    </comment>
    <comment ref="K8" authorId="0" shapeId="0" xr:uid="{E7A6C5B5-638D-45E1-9176-2A79CAE4AC0A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976387
Mjóafjarðarhreppur: 10394
Fáskrúðsfjarðarhreppur: 9234
Austurbyggð:  199503
Breiðdalshr: 48867
</t>
        </r>
      </text>
    </comment>
    <comment ref="L8" authorId="0" shapeId="0" xr:uid="{A9A9FE9D-A691-4A68-9A8F-A02DF4B2884C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1037710
Mjóafjarðarhreppur: 11047
Fáskrúðsfjarðarhreppur: 9830
Austurbyggð:  212033
Breiðdalshr: 51936
</t>
        </r>
      </text>
    </comment>
    <comment ref="M8" authorId="1" shapeId="0" xr:uid="{0C55BB7D-EFAB-4F39-A716-D266BA56210A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75102
Breiðdalshr: 3069</t>
        </r>
      </text>
    </comment>
    <comment ref="K9" authorId="1" shapeId="0" xr:uid="{63FA8D6B-B470-4B89-985F-BBA834657261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2049550
Breiðdalshr: 52768
</t>
        </r>
      </text>
    </comment>
    <comment ref="L9" authorId="1" shapeId="0" xr:uid="{720B2453-EF5A-4B99-9F8C-9BC4CFBA09FB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2178274
Breiðdalshr: 56082
</t>
        </r>
      </text>
    </comment>
    <comment ref="M9" authorId="1" shapeId="0" xr:uid="{2A576B9B-CA49-47A5-B745-50D26C7A0531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128724
Breiðdalshr: 3316</t>
        </r>
      </text>
    </comment>
    <comment ref="K10" authorId="1" shapeId="0" xr:uid="{FA0AE08F-17A4-43DF-BAFA-EA8A8157B5BE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Fjarðabyggð:2497530
Breiðdalshr: 49489
</t>
        </r>
      </text>
    </comment>
    <comment ref="L10" authorId="1" shapeId="0" xr:uid="{051A12A3-A982-48C5-BFEE-DF90C00C2431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2654390
Breiðdalshr: 52597
</t>
        </r>
      </text>
    </comment>
    <comment ref="M10" authorId="1" shapeId="0" xr:uid="{A6A0F95E-F68B-4B80-8A94-5884D18401F4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156860
Breiðdalshr: 3108</t>
        </r>
      </text>
    </comment>
    <comment ref="K11" authorId="1" shapeId="0" xr:uid="{E2D91992-B7FB-4CF5-8E14-3E5622C3AA22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1837558
Breiðdalshr: 52795
</t>
        </r>
      </text>
    </comment>
    <comment ref="L11" authorId="1" shapeId="0" xr:uid="{62052271-624D-4185-A4CD-54D57A76A34C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1952967
Breiðdalshr: 56111</t>
        </r>
      </text>
    </comment>
    <comment ref="M11" authorId="1" shapeId="0" xr:uid="{39407EB9-4932-41F0-8A1E-971B72AD5028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115409
Breiðdalshr: 3316</t>
        </r>
      </text>
    </comment>
    <comment ref="K12" authorId="1" shapeId="0" xr:uid="{375A2630-7440-4CC0-8FB3-DA349DB3710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1764297
Breiðdalshr: 60506</t>
        </r>
      </text>
    </comment>
    <comment ref="L12" authorId="1" shapeId="0" xr:uid="{8911388D-A03C-45DA-9D3A-DCA8289E7CC0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1872891
Breiðdalshr: 64230
</t>
        </r>
      </text>
    </comment>
    <comment ref="M12" authorId="1" shapeId="0" xr:uid="{473E84BE-C8A7-4AC8-803D-7140A09F7B8F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108594
Breiðdalshr: 3724</t>
        </r>
      </text>
    </comment>
    <comment ref="K13" authorId="1" shapeId="0" xr:uid="{FC3A7040-3982-41C0-ACF2-957742B63621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1781367
Breiðdalshr: 58081</t>
        </r>
      </text>
    </comment>
    <comment ref="L13" authorId="1" shapeId="0" xr:uid="{10BCFBD7-E17A-411A-BDE6-AF91470465A0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1891012
Breiðdalshr: 61656</t>
        </r>
      </text>
    </comment>
    <comment ref="M13" authorId="1" shapeId="0" xr:uid="{7E6A562B-BEFE-4656-A4B9-9A6724922821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109645
Breiðdalshr: 3575</t>
        </r>
      </text>
    </comment>
    <comment ref="K14" authorId="1" shapeId="0" xr:uid="{F5979D2B-5F37-4C3A-9B89-1D4569D07ADD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2033789
Breiðdalshr: 62133</t>
        </r>
      </text>
    </comment>
    <comment ref="L14" authorId="1" shapeId="0" xr:uid="{F3EDF3E2-2F3C-4536-A090-3F0362D0B14D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2307936
Breiðdalshr: 70508
</t>
        </r>
      </text>
    </comment>
    <comment ref="M14" authorId="1" shapeId="0" xr:uid="{7AC92EFE-A55C-47C8-A5B1-929046E12F8D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274147
Breiðdalshr: 8375</t>
        </r>
      </text>
    </comment>
    <comment ref="K15" authorId="1" shapeId="0" xr:uid="{9AE55EDE-706B-440E-8791-D94F550058A0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2160117
Breiðdalshr: 67605</t>
        </r>
      </text>
    </comment>
    <comment ref="L15" authorId="1" shapeId="0" xr:uid="{B0A6A697-C1F2-4716-9881-A6025FD3578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2451293
Breiðdalshr: 76718</t>
        </r>
      </text>
    </comment>
    <comment ref="M15" authorId="1" shapeId="0" xr:uid="{BBDABADE-BE34-4B3C-8824-EB3D7C306F89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291176
Breiðdalshr: 9113
</t>
        </r>
      </text>
    </comment>
    <comment ref="K16" authorId="1" shapeId="0" xr:uid="{CA29B12A-3162-4469-AE98-6F0B2BFDBC8F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2245974
Breiðdalshr: 72182
</t>
        </r>
      </text>
    </comment>
    <comment ref="L16" authorId="1" shapeId="0" xr:uid="{E6B7F7B9-81C6-47F3-9EEF-3AADA2B28020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2548723
Breiðdalshr: 81912</t>
        </r>
      </text>
    </comment>
    <comment ref="M16" authorId="1" shapeId="0" xr:uid="{4FA17552-AD75-4569-89BF-1B0EE89E6B7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302749
Breiðdalshr: 9730</t>
        </r>
      </text>
    </comment>
    <comment ref="K17" authorId="1" shapeId="0" xr:uid="{9B78BAB2-1207-4D75-B6FE-FB1FC031D49F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2352431
Breiðdalshr: 76938
</t>
        </r>
      </text>
    </comment>
    <comment ref="L17" authorId="1" shapeId="0" xr:uid="{DEF2E028-05ED-4B7F-B094-FB35614AF9F5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2676904
Breiðdalshr: 87550</t>
        </r>
      </text>
    </comment>
    <comment ref="M17" authorId="1" shapeId="0" xr:uid="{27478B57-0A93-4E81-B153-C1CD71055F7E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324473
Breiðdalshr: 10612
</t>
        </r>
      </text>
    </comment>
    <comment ref="K18" authorId="1" shapeId="0" xr:uid="{DEA4195F-764F-4D3E-82EB-18A7AFFEBDF2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2518305
Breiðdalshr: 80966
</t>
        </r>
      </text>
    </comment>
    <comment ref="L18" authorId="1" shapeId="0" xr:uid="{45129748-AF9C-4703-A8BF-598DCCC58828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2865658
Breiðdalshr: 92134</t>
        </r>
      </text>
    </comment>
    <comment ref="M18" authorId="1" shapeId="0" xr:uid="{814739BB-5AC8-47F0-9150-A1B68B2C8515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347352
Breiðdalshr: 11168
</t>
        </r>
      </text>
    </comment>
    <comment ref="K19" authorId="1" shapeId="0" xr:uid="{DE4A887C-154A-4E54-A279-8AB8562E1B0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2592479
Breiðdalshr: 90025</t>
        </r>
      </text>
    </comment>
    <comment ref="L19" authorId="1" shapeId="0" xr:uid="{EE666490-BEB4-429C-9E17-C7CAAC29F54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2950290
Breiðdalshr: 102443</t>
        </r>
      </text>
    </comment>
    <comment ref="M19" authorId="1" shapeId="0" xr:uid="{533F35D2-C365-41EE-BB94-AE3AC955CBE8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357811
Breiðdalshr: 12417
</t>
        </r>
      </text>
    </comment>
    <comment ref="K20" authorId="1" shapeId="0" xr:uid="{D7964978-CFD7-4712-AFA1-766C716C47E3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2755611
Breiðdalshr: 91341
</t>
        </r>
      </text>
    </comment>
    <comment ref="L20" authorId="1" shapeId="0" xr:uid="{A922F48D-F788-4402-8429-0B3F3ED9966C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3135695
Breiðdalshr: 103939</t>
        </r>
      </text>
    </comment>
    <comment ref="M20" authorId="1" shapeId="0" xr:uid="{234A163C-E475-4A91-A984-12F1D8B321DA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380084 
Breiðdalshr: 12599
</t>
        </r>
      </text>
    </comment>
    <comment ref="I35" authorId="1" shapeId="0" xr:uid="{24BE6637-2525-46B7-ABBB-06D087C07C3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2019
</t>
        </r>
      </text>
    </comment>
    <comment ref="E36" authorId="0" shapeId="0" xr:uid="{75973EF1-495D-440E-BA08-F771820A72F9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658705
Mjóafjarðarhreppur: 6326
Fáskrúðsfjarðarhreppur: 10302
Búðahreppur:  118994
Stöðvarhreppur:  45033
Breiðdalshr: 45075
</t>
        </r>
      </text>
    </comment>
    <comment ref="F36" authorId="0" shapeId="0" xr:uid="{0A9479C2-C96E-4244-B017-97B5B26673B6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69114
Norður Hérað: 36580
Austurhérað:  352190
</t>
        </r>
      </text>
    </comment>
    <comment ref="N36" authorId="0" shapeId="0" xr:uid="{F1709723-6F30-40CE-8A2F-619FDABA6955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658705
Mjóafjarðarhreppur: 6326
Fáskrúðsfjarðarhreppur: 10302
Búðahreppur:  118994
Stöðvarhreppur:  45033
Breiðdalshr: 45075
</t>
        </r>
      </text>
    </comment>
    <comment ref="O36" authorId="0" shapeId="0" xr:uid="{9EE4E808-67ED-4AAB-B125-2E02C91F2C2D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69114
Norður Hérað: 36580
Austurhérað:  352190
</t>
        </r>
      </text>
    </comment>
    <comment ref="E37" authorId="0" shapeId="0" xr:uid="{2D5664D5-EE77-4320-B25B-0966524BB2E8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680271
Mjóafjarðarhreppur: 7498
Fáskrúðsfjarðarhreppur: 8094
Austurbyggð:  175810
Breiðdalshr: 45211
</t>
        </r>
      </text>
    </comment>
    <comment ref="F37" authorId="0" shapeId="0" xr:uid="{F5FA79EC-B7EC-4F45-AD42-3C0B1C4A34A2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84047
Norður Hérað: 118671
Austurhérað:  402381
</t>
        </r>
      </text>
    </comment>
    <comment ref="N37" authorId="0" shapeId="0" xr:uid="{8A9C84C4-3CA9-4953-880F-5DBDEBFAEBBF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680271
Mjóafjarðarhreppur: 7498
Fáskrúðsfjarðarhreppur: 8094
Austurbyggð:  175810
Breiðdalshr: 45211
</t>
        </r>
      </text>
    </comment>
    <comment ref="O37" authorId="0" shapeId="0" xr:uid="{8E8D2F2B-25CB-4408-99B7-1595B7FDA75E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84047
Norður Hérað: 118671
Austurhérað:  402381
</t>
        </r>
      </text>
    </comment>
    <comment ref="E38" authorId="0" shapeId="0" xr:uid="{37997A95-1F62-4C7B-98B1-B8C6EB1978B8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749450
Mjóafjarðarhreppur: 8880
Fáskrúðsfjarðarhreppur: 8085
Austurbyggð:  187559
Breiðdalshr: 46630
</t>
        </r>
      </text>
    </comment>
    <comment ref="N38" authorId="0" shapeId="0" xr:uid="{F5FDB214-49DE-423E-8937-656EA638F437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749450
Mjóafjarðarhreppur: 8880
Fáskrúðsfjarðarhreppur: 8085
Austurbyggð:  187559
Breiðdalshr: 46630
</t>
        </r>
      </text>
    </comment>
    <comment ref="E39" authorId="0" shapeId="0" xr:uid="{26F24C6C-E19F-4E69-BA73-FA63D76E1F0E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976387
Mjóafjarðarhreppur: 10394
Fáskrúðsfjarðarhreppur: 9234
Austurbyggð:  199503
Breiðdalshr: 48867
</t>
        </r>
      </text>
    </comment>
    <comment ref="N39" authorId="0" shapeId="0" xr:uid="{9C9A2FCC-BC33-47C1-99CC-7D942278D50D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976387
Mjóafjarðarhreppur: 10394
Fáskrúðsfjarðarhreppur: 9234
Austurbyggð:  199503
Breiðdalshr: 48867
</t>
        </r>
      </text>
    </comment>
    <comment ref="E40" authorId="1" shapeId="0" xr:uid="{96A3C715-2422-4B23-8618-B56DCBC64DFC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2049550
Breiðdalshr: 52768
</t>
        </r>
      </text>
    </comment>
    <comment ref="N40" authorId="1" shapeId="0" xr:uid="{AD9CBBF0-5161-44FE-A464-E89630B489CC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2049550
Breiðdalshr: 52768
</t>
        </r>
      </text>
    </comment>
    <comment ref="E41" authorId="1" shapeId="0" xr:uid="{CBFE74D9-B183-4B8E-94D9-519EC46225E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Fjarðabyggð:2497530
Breiðdalshr: 49489
</t>
        </r>
      </text>
    </comment>
    <comment ref="N41" authorId="1" shapeId="0" xr:uid="{B34DF2AF-B0EB-49EE-B17B-AF6B75CDDC76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Fjarðabyggð:2497530
Breiðdalshr: 49489
</t>
        </r>
      </text>
    </comment>
    <comment ref="E42" authorId="1" shapeId="0" xr:uid="{06323A2D-2E17-410D-A585-A2CA590E529F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1837558
Breiðdalshr: 52795
</t>
        </r>
      </text>
    </comment>
    <comment ref="N42" authorId="1" shapeId="0" xr:uid="{BEC64EBD-CC57-45A1-AA24-F10A34E7F97A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1837558
Breiðdalshr: 52795
</t>
        </r>
      </text>
    </comment>
    <comment ref="E43" authorId="1" shapeId="0" xr:uid="{698759BB-8E58-435F-B4CB-944BD55252D4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1764297
Breiðdalshr: 60506</t>
        </r>
      </text>
    </comment>
    <comment ref="N43" authorId="1" shapeId="0" xr:uid="{4EF5D4B5-D65C-4C3E-B750-9C6B62CFF3BD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1764297
Breiðdalshr: 60506</t>
        </r>
      </text>
    </comment>
    <comment ref="E44" authorId="1" shapeId="0" xr:uid="{7C03BFE7-3CF7-471F-9BAE-1345AE1DA7D6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1781367
Breiðdalshr: 58081</t>
        </r>
      </text>
    </comment>
    <comment ref="N44" authorId="1" shapeId="0" xr:uid="{2EBECEF2-B7C5-4416-8901-3CACF20A3931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1781367
Breiðdalshr: 58081</t>
        </r>
      </text>
    </comment>
    <comment ref="E45" authorId="1" shapeId="0" xr:uid="{559C00F0-253F-4098-BFB8-D571B088417D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2033789
Breiðdalshr: 62133</t>
        </r>
      </text>
    </comment>
    <comment ref="N45" authorId="1" shapeId="0" xr:uid="{A0BF2B4B-F001-4BAE-ADE0-9B57BEF1A769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2033789
Breiðdalshr: 62133</t>
        </r>
      </text>
    </comment>
    <comment ref="E46" authorId="1" shapeId="0" xr:uid="{307E4F83-C44A-45FA-A2FC-EE445C1B1DAD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2160117
Breiðdalshr: 67605</t>
        </r>
      </text>
    </comment>
    <comment ref="N46" authorId="1" shapeId="0" xr:uid="{392967E6-D5D0-4083-96D7-F7AC058A6F9C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2160117
Breiðdalshr: 67605</t>
        </r>
      </text>
    </comment>
    <comment ref="E47" authorId="1" shapeId="0" xr:uid="{57C0124E-39E6-4FB3-BBE0-3864B6A8DECB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2245974
Breiðdalshr: 72182
</t>
        </r>
      </text>
    </comment>
    <comment ref="N47" authorId="1" shapeId="0" xr:uid="{D226887B-20F4-4715-B8E3-C5C678C2BBE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2245974
Breiðdalshr: 72182
</t>
        </r>
      </text>
    </comment>
    <comment ref="E48" authorId="1" shapeId="0" xr:uid="{56D20FAF-9D75-416A-8822-995401390BEF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2352431
Breiðdalshr: 76938
</t>
        </r>
      </text>
    </comment>
    <comment ref="N48" authorId="1" shapeId="0" xr:uid="{F697420A-231D-482E-8EA8-5548FCB02D15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2352431
Breiðdalshr: 76938
</t>
        </r>
      </text>
    </comment>
    <comment ref="E49" authorId="1" shapeId="0" xr:uid="{DFEBC71E-CC45-4284-8059-0413E9F158AB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2518305
Breiðdalshr: 80966
</t>
        </r>
      </text>
    </comment>
    <comment ref="N49" authorId="1" shapeId="0" xr:uid="{B929B663-8001-4275-81A5-C458903A279A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2518305
Breiðdalshr: 80966
</t>
        </r>
      </text>
    </comment>
    <comment ref="E50" authorId="1" shapeId="0" xr:uid="{8751C6DD-3114-459B-A5DB-C7057EA22E93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2592479
Breiðdalshr: 90025</t>
        </r>
      </text>
    </comment>
    <comment ref="N50" authorId="1" shapeId="0" xr:uid="{58FA0DEF-6E70-4F87-A26C-68021A3F4530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2592479
Breiðdalshr: 90025</t>
        </r>
      </text>
    </comment>
    <comment ref="E51" authorId="1" shapeId="0" xr:uid="{46247065-D75A-4271-B45B-2EC6DF82314B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2755611
Breiðdalshr: 91341
</t>
        </r>
      </text>
    </comment>
    <comment ref="N51" authorId="1" shapeId="0" xr:uid="{62B3E7C1-A6AE-4ADE-B2B1-AD2FBE82BFB2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2755611
Breiðdalshr: 91341
</t>
        </r>
      </text>
    </comment>
    <comment ref="A65" authorId="0" shapeId="0" xr:uid="{F7BDC627-E0F5-43CB-9D4F-BFEB644128B7}">
      <text>
        <r>
          <rPr>
            <sz val="9"/>
            <color indexed="81"/>
            <rFont val="Tahoma"/>
            <family val="2"/>
          </rPr>
          <t xml:space="preserve">Lilja
2018
</t>
        </r>
      </text>
    </comment>
  </commentList>
</comments>
</file>

<file path=xl/sharedStrings.xml><?xml version="1.0" encoding="utf-8"?>
<sst xmlns="http://schemas.openxmlformats.org/spreadsheetml/2006/main" count="353" uniqueCount="239">
  <si>
    <t>3.2.1 - Útsvarstekjur</t>
  </si>
  <si>
    <t>FJÁRSÝSLA RÍKISINS</t>
  </si>
  <si>
    <t xml:space="preserve"> </t>
  </si>
  <si>
    <t>Bókhaldssvið</t>
  </si>
  <si>
    <t xml:space="preserve">Sótt á vef sambands íslenskra sveitarfélaga </t>
  </si>
  <si>
    <t>https://www.samband.is/verkefnin/fjarmal-sveitarfelaga/tekjustofnar-sveitarfelaga/utsvar/</t>
  </si>
  <si>
    <t>Uppgjör á útsvari sveitarfélaga og hluta Jöfnunarsjóðs sveitarfélaga  2019  vegna launa 2018</t>
  </si>
  <si>
    <t>HEILDARUPPGJÖR</t>
  </si>
  <si>
    <t>( + )</t>
  </si>
  <si>
    <t>( = )</t>
  </si>
  <si>
    <t>Álagningar-</t>
  </si>
  <si>
    <t xml:space="preserve">Álagt </t>
  </si>
  <si>
    <t xml:space="preserve">Verðbætur </t>
  </si>
  <si>
    <t>Eftirstöðvar til</t>
  </si>
  <si>
    <t>Hluti Jöfnunarsj.</t>
  </si>
  <si>
    <t>Bráðab.uppgjör</t>
  </si>
  <si>
    <t xml:space="preserve">Kostnaður </t>
  </si>
  <si>
    <t>Áður skuldf.</t>
  </si>
  <si>
    <t>Uppgjör á hluta</t>
  </si>
  <si>
    <t>Staða</t>
  </si>
  <si>
    <t>prósenta</t>
  </si>
  <si>
    <t>útsvar skv.</t>
  </si>
  <si>
    <t>útsvar, hluti</t>
  </si>
  <si>
    <t>á ógreittt</t>
  </si>
  <si>
    <t xml:space="preserve">innheimtu hjá </t>
  </si>
  <si>
    <t>í eftirstöðvum</t>
  </si>
  <si>
    <t>á ofgreitt</t>
  </si>
  <si>
    <t>Greitt sveitarfélagi</t>
  </si>
  <si>
    <t>0,5% skv. l.nr.</t>
  </si>
  <si>
    <t xml:space="preserve">kostnaður </t>
  </si>
  <si>
    <t>Jöfnunarsjóðs</t>
  </si>
  <si>
    <t>uppgjörs</t>
  </si>
  <si>
    <t>í áætlaðri</t>
  </si>
  <si>
    <t>sveitarfélags</t>
  </si>
  <si>
    <t>útsvars</t>
  </si>
  <si>
    <t>álagningaskrá</t>
  </si>
  <si>
    <t>útsvar</t>
  </si>
  <si>
    <t>innheimtumanni</t>
  </si>
  <si>
    <t>til innheimtu</t>
  </si>
  <si>
    <t>jan'19-30.apríl'20</t>
  </si>
  <si>
    <t>47/1986</t>
  </si>
  <si>
    <t xml:space="preserve"> 31.12.2019</t>
  </si>
  <si>
    <t>eftir álagningu</t>
  </si>
  <si>
    <t>innheimtu eftirst.</t>
  </si>
  <si>
    <t xml:space="preserve"> - = skuld</t>
  </si>
  <si>
    <t>Svfélnr.</t>
  </si>
  <si>
    <t>Heiti sveitarfélags</t>
  </si>
  <si>
    <t>2020 v/2019</t>
  </si>
  <si>
    <t>samtals</t>
  </si>
  <si>
    <t>bakfærður</t>
  </si>
  <si>
    <t>álagningar 2019</t>
  </si>
  <si>
    <t>0000</t>
  </si>
  <si>
    <t>Reykjavíkurborg</t>
  </si>
  <si>
    <t>530269-7609</t>
  </si>
  <si>
    <t>Kópavogsbær</t>
  </si>
  <si>
    <t>700169-3759</t>
  </si>
  <si>
    <t>Seltjarnarneskaupstaður</t>
  </si>
  <si>
    <t>560269-2429</t>
  </si>
  <si>
    <t>Garðabær</t>
  </si>
  <si>
    <t>570169-6109</t>
  </si>
  <si>
    <t>Hafnarfjarðarkaupstaður</t>
  </si>
  <si>
    <t>590169-7579</t>
  </si>
  <si>
    <t>Mosfellsbær</t>
  </si>
  <si>
    <t>470269-5969</t>
  </si>
  <si>
    <t>Kjósarhreppur</t>
  </si>
  <si>
    <t>690169-3129</t>
  </si>
  <si>
    <t>Reykjanesbær</t>
  </si>
  <si>
    <t>470794-2169</t>
  </si>
  <si>
    <t>Grindavíkurkaupstaður</t>
  </si>
  <si>
    <t>580169-1559</t>
  </si>
  <si>
    <t>Sveitarfélagið Vogar</t>
  </si>
  <si>
    <t>670269-2649</t>
  </si>
  <si>
    <t>Suðurnesjabær</t>
  </si>
  <si>
    <t>550518-1200</t>
  </si>
  <si>
    <t>Akraneskaupstaður</t>
  </si>
  <si>
    <t>410169-4449</t>
  </si>
  <si>
    <t>Skorradalshreppur</t>
  </si>
  <si>
    <t>600269-0709</t>
  </si>
  <si>
    <t>Hvalfjarðarsveit</t>
  </si>
  <si>
    <t>630606-1950</t>
  </si>
  <si>
    <t>Borgarbyggð</t>
  </si>
  <si>
    <t>510694-2289</t>
  </si>
  <si>
    <t>Grundarfjarðarbær</t>
  </si>
  <si>
    <t>520169-1729</t>
  </si>
  <si>
    <t>Helgafellssveit</t>
  </si>
  <si>
    <t>600169-6379</t>
  </si>
  <si>
    <t>Stykkishólmsbær</t>
  </si>
  <si>
    <t>620269-7009</t>
  </si>
  <si>
    <t>Eyja- og Miklaholtshreppur</t>
  </si>
  <si>
    <t>690894-2469</t>
  </si>
  <si>
    <t>Snæfellsbær</t>
  </si>
  <si>
    <t>510694-2449</t>
  </si>
  <si>
    <t>Dalabyggð</t>
  </si>
  <si>
    <t>510694-2019</t>
  </si>
  <si>
    <t>Bolungarvíkurkaupstaður</t>
  </si>
  <si>
    <t>480774-0279</t>
  </si>
  <si>
    <t>Ísafjarðarbær</t>
  </si>
  <si>
    <t>540596-2639</t>
  </si>
  <si>
    <t>Reykhólahreppur</t>
  </si>
  <si>
    <t>440787-2589</t>
  </si>
  <si>
    <t>Tálknafjarðarhreppur</t>
  </si>
  <si>
    <t>640269-6779</t>
  </si>
  <si>
    <t>Vesturbyggð</t>
  </si>
  <si>
    <t>510694-2369</t>
  </si>
  <si>
    <t>Súðavíkurhreppur</t>
  </si>
  <si>
    <t>630269-4589</t>
  </si>
  <si>
    <t>Árneshreppur</t>
  </si>
  <si>
    <t>430169-0419</t>
  </si>
  <si>
    <t>Kaldrananeshreppur</t>
  </si>
  <si>
    <t>680169-0719</t>
  </si>
  <si>
    <t>Strandabyggð</t>
  </si>
  <si>
    <t>570806-0410</t>
  </si>
  <si>
    <t>Sveitarfélagið Skagafjörður</t>
  </si>
  <si>
    <t>550698-2349</t>
  </si>
  <si>
    <t>Húnaþing vestra</t>
  </si>
  <si>
    <t>540598-2829</t>
  </si>
  <si>
    <t>Blönduósbær</t>
  </si>
  <si>
    <t>470169-1769</t>
  </si>
  <si>
    <t>Sveitarfélagið Skagaströnd</t>
  </si>
  <si>
    <t>650169-6039</t>
  </si>
  <si>
    <t>Skagabyggð</t>
  </si>
  <si>
    <t>540602-2630</t>
  </si>
  <si>
    <t>Húnavatnshreppur</t>
  </si>
  <si>
    <t>420106-1300</t>
  </si>
  <si>
    <t>Akrahreppur</t>
  </si>
  <si>
    <t>410169-3209</t>
  </si>
  <si>
    <t>Akureyrarkaupstaður</t>
  </si>
  <si>
    <t>410169-6229</t>
  </si>
  <si>
    <t>Norðurþing</t>
  </si>
  <si>
    <t>640169-5599</t>
  </si>
  <si>
    <t>Fjallabyggð</t>
  </si>
  <si>
    <t>580706-0880</t>
  </si>
  <si>
    <t>Dalvíkurbyggð</t>
  </si>
  <si>
    <t>620598-2089</t>
  </si>
  <si>
    <t>Eyjafjarðarsveit</t>
  </si>
  <si>
    <t>410191-2029</t>
  </si>
  <si>
    <t>Hörgársveit</t>
  </si>
  <si>
    <t>510101-3830</t>
  </si>
  <si>
    <t>Svalbarðsstrandarhreppur</t>
  </si>
  <si>
    <t>640269-2279</t>
  </si>
  <si>
    <t>Grýtubakkahreppur</t>
  </si>
  <si>
    <t>580169-2019</t>
  </si>
  <si>
    <t>Skútustaðahreppur</t>
  </si>
  <si>
    <t>600269-1009</t>
  </si>
  <si>
    <t>Tjörneshreppur</t>
  </si>
  <si>
    <t>650269-5789</t>
  </si>
  <si>
    <t>Þingeyjarsveit</t>
  </si>
  <si>
    <t>590602-2640</t>
  </si>
  <si>
    <t>Svalbarðshreppur</t>
  </si>
  <si>
    <t>640269-1979</t>
  </si>
  <si>
    <t>Langanesbyggð</t>
  </si>
  <si>
    <t>420369-1749</t>
  </si>
  <si>
    <t>Seyðisfjarðarkaupstaður</t>
  </si>
  <si>
    <t>560269-4559</t>
  </si>
  <si>
    <t>Fjarðabyggð</t>
  </si>
  <si>
    <t>470698-2099</t>
  </si>
  <si>
    <t>Vopnafjarðarhreppur</t>
  </si>
  <si>
    <t>710269-5569</t>
  </si>
  <si>
    <t>Fljótsdalshreppur</t>
  </si>
  <si>
    <t>550169-5339</t>
  </si>
  <si>
    <t>Borgarfjarðarhreppur</t>
  </si>
  <si>
    <t>480169-6549</t>
  </si>
  <si>
    <t>Djúpavogshreppur</t>
  </si>
  <si>
    <t>570992-2799</t>
  </si>
  <si>
    <t>Fljótsdalshérað</t>
  </si>
  <si>
    <t>481004-3220</t>
  </si>
  <si>
    <t>Sveitarfélagið Hornafjörður</t>
  </si>
  <si>
    <t>590169-4639</t>
  </si>
  <si>
    <t>Vestmannaeyjabær</t>
  </si>
  <si>
    <t>690269-0159</t>
  </si>
  <si>
    <t>Sveitarfélagið Árborg</t>
  </si>
  <si>
    <t>650598-2029</t>
  </si>
  <si>
    <t>Mýrdalshreppur</t>
  </si>
  <si>
    <t>461283-0399</t>
  </si>
  <si>
    <t>Skaftárhreppur</t>
  </si>
  <si>
    <t>480690-2069</t>
  </si>
  <si>
    <t>Ásahreppur</t>
  </si>
  <si>
    <t>430169-0339</t>
  </si>
  <si>
    <t>Rangárþing eystra</t>
  </si>
  <si>
    <t>470602-2440</t>
  </si>
  <si>
    <t>Rangárþing ytra</t>
  </si>
  <si>
    <t>520602-3050</t>
  </si>
  <si>
    <t>Hrunamannahreppur</t>
  </si>
  <si>
    <t>640169-2309</t>
  </si>
  <si>
    <t>Hveragerðisbær</t>
  </si>
  <si>
    <t>650169-4849</t>
  </si>
  <si>
    <t>Sveitarfélagið Ölfus</t>
  </si>
  <si>
    <t>420369-7009</t>
  </si>
  <si>
    <t>Grímsnes- og Grafningshreppur</t>
  </si>
  <si>
    <t>590698-2109</t>
  </si>
  <si>
    <t>Skeiða- og Gnúpverjahreppur</t>
  </si>
  <si>
    <t>540602-4410</t>
  </si>
  <si>
    <t>Bláskógabyggð</t>
  </si>
  <si>
    <t>510602-4120</t>
  </si>
  <si>
    <t>Flóahreppur</t>
  </si>
  <si>
    <t>600606-1310</t>
  </si>
  <si>
    <t>Samtals</t>
  </si>
  <si>
    <t>Jöfnunarsjóður sveitarfélaga</t>
  </si>
  <si>
    <t>480676-0179</t>
  </si>
  <si>
    <t>Íbúafjöldi 1. janúar</t>
  </si>
  <si>
    <t>Sótt á vef Sambands íslenskra sveitarfélaga, Íbúafjöldi Sveitafélaga þann</t>
  </si>
  <si>
    <t>https://www.samband.is/verkefnin/rekstur-sveitarfelaga/talnaefni/</t>
  </si>
  <si>
    <t>Svnr</t>
  </si>
  <si>
    <t>Sveitarfélag</t>
  </si>
  <si>
    <t>Landið allt</t>
  </si>
  <si>
    <t>Höfuðborgarsvæðið</t>
  </si>
  <si>
    <t>Grindavíkurbær</t>
  </si>
  <si>
    <t>Suðurnejabær</t>
  </si>
  <si>
    <t>Suðurnes</t>
  </si>
  <si>
    <t>Vesturland</t>
  </si>
  <si>
    <t>Vestfirðir</t>
  </si>
  <si>
    <t xml:space="preserve">Blönduósbær </t>
  </si>
  <si>
    <t>Norðurland vestra</t>
  </si>
  <si>
    <t>Norðurland eystra</t>
  </si>
  <si>
    <t>Austurland</t>
  </si>
  <si>
    <t>Seyðisfj.kaupst.</t>
  </si>
  <si>
    <t>Ár</t>
  </si>
  <si>
    <t>Nettó útsvar</t>
  </si>
  <si>
    <t>Útsv. m/jöfnsj</t>
  </si>
  <si>
    <t>jöfnsj</t>
  </si>
  <si>
    <t>Nettó útsvar 2</t>
  </si>
  <si>
    <t>Útsv. m/jöfnsj 3</t>
  </si>
  <si>
    <t>jöfnsj4</t>
  </si>
  <si>
    <t>Nettó útsvar5</t>
  </si>
  <si>
    <t>Útsv. m/jöfnsj6</t>
  </si>
  <si>
    <t>jöfnsj7</t>
  </si>
  <si>
    <t>Nettó útsvar8</t>
  </si>
  <si>
    <t>Útsv. m/jöfnsj9</t>
  </si>
  <si>
    <t>jöfnsj10</t>
  </si>
  <si>
    <t>Nettó útsvar11</t>
  </si>
  <si>
    <t>Útsv. m/jöfnsj12</t>
  </si>
  <si>
    <t>jöfnsj13</t>
  </si>
  <si>
    <t>Álagt nettó útsvar</t>
  </si>
  <si>
    <t>Vísitölur</t>
  </si>
  <si>
    <t>Álagt nettó útsvar á verðlagi 2019</t>
  </si>
  <si>
    <t>468,6</t>
  </si>
  <si>
    <t>Álagt útsvar per íbúa á verðlagi 2018</t>
  </si>
  <si>
    <t>Verðlag nú</t>
  </si>
  <si>
    <t>454,8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</si>
</sst>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0.0"/>
    <numFmt numFmtId="166" formatCode="0000"/>
    <numFmt numFmtId="167" formatCode="_-* #,##0\ _k_r_-;\-* #,##0\ _k_r_-;_-* &quot;-&quot;\ _k_r_-;_-@_-"/>
    <numFmt numFmtId="168" formatCode="_-* #,##0\ _I_S_K_-;\-* #,##0\ _I_S_K_-;_-* &quot;-&quot;\ _I_S_K_-;_-@_-"/>
    <numFmt numFmtId="171" formatCode="_(* #,##0_);_(* \(#,##0\);_(* &quot;-&quot;??_);_(@_)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1"/>
      <color indexed="8"/>
      <name val="Optima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Optima"/>
      <family val="2"/>
    </font>
  </fonts>
  <fills count="4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rgb="FFDDEBF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/>
  </cellStyleXfs>
  <cellXfs count="122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8" fillId="0" borderId="0" xfId="0" applyFont="1" applyAlignment="1">
      <alignment horizontal="left"/>
    </xf>
    <xf numFmtId="14" fontId="0" fillId="0" borderId="0" xfId="0" applyNumberFormat="1" applyAlignment="1">
      <alignment vertical="center" wrapText="1"/>
    </xf>
    <xf numFmtId="0" fontId="10" fillId="0" borderId="0" xfId="0" applyFont="1" applyAlignment="1">
      <alignment horizontal="left"/>
    </xf>
    <xf numFmtId="0" fontId="11" fillId="0" borderId="0" xfId="0" applyFont="1"/>
    <xf numFmtId="0" fontId="8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8" fillId="0" borderId="0" xfId="0" applyNumberFormat="1" applyFont="1" applyAlignment="1">
      <alignment horizontal="center"/>
    </xf>
    <xf numFmtId="0" fontId="6" fillId="0" borderId="0" xfId="3" applyAlignment="1">
      <alignment horizontal="center" vertical="center" wrapText="1"/>
    </xf>
    <xf numFmtId="3" fontId="14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left"/>
    </xf>
    <xf numFmtId="3" fontId="15" fillId="3" borderId="0" xfId="0" applyNumberFormat="1" applyFont="1" applyFill="1"/>
    <xf numFmtId="0" fontId="15" fillId="3" borderId="0" xfId="0" applyFont="1" applyFill="1"/>
    <xf numFmtId="0" fontId="15" fillId="3" borderId="0" xfId="0" applyFont="1" applyFill="1" applyAlignment="1">
      <alignment horizontal="left"/>
    </xf>
    <xf numFmtId="3" fontId="15" fillId="0" borderId="0" xfId="0" applyNumberFormat="1" applyFont="1"/>
    <xf numFmtId="0" fontId="15" fillId="0" borderId="0" xfId="0" applyFont="1"/>
    <xf numFmtId="0" fontId="16" fillId="0" borderId="0" xfId="0" applyFont="1"/>
    <xf numFmtId="166" fontId="15" fillId="3" borderId="0" xfId="0" applyNumberFormat="1" applyFont="1" applyFill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14" fontId="18" fillId="0" borderId="0" xfId="0" applyNumberFormat="1" applyFont="1"/>
    <xf numFmtId="0" fontId="17" fillId="0" borderId="0" xfId="0" applyFont="1"/>
    <xf numFmtId="0" fontId="19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7" fontId="0" fillId="0" borderId="0" xfId="2" applyNumberFormat="1" applyFont="1" applyFill="1" applyBorder="1" applyAlignment="1">
      <alignment vertical="center"/>
    </xf>
    <xf numFmtId="167" fontId="0" fillId="0" borderId="0" xfId="2" applyNumberFormat="1" applyFont="1" applyFill="1" applyBorder="1" applyAlignment="1">
      <alignment horizontal="center"/>
    </xf>
    <xf numFmtId="167" fontId="0" fillId="0" borderId="0" xfId="2" applyNumberFormat="1" applyFont="1" applyFill="1" applyBorder="1" applyAlignment="1"/>
    <xf numFmtId="167" fontId="0" fillId="0" borderId="0" xfId="2" applyNumberFormat="1" applyFont="1" applyFill="1" applyBorder="1"/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/>
    <xf numFmtId="0" fontId="1" fillId="0" borderId="15" xfId="0" applyFont="1" applyFill="1" applyBorder="1"/>
    <xf numFmtId="0" fontId="0" fillId="0" borderId="16" xfId="0" applyFill="1" applyBorder="1"/>
    <xf numFmtId="0" fontId="1" fillId="0" borderId="19" xfId="0" applyFont="1" applyBorder="1"/>
    <xf numFmtId="165" fontId="0" fillId="0" borderId="0" xfId="0" applyNumberFormat="1" applyFont="1" applyFill="1" applyBorder="1"/>
    <xf numFmtId="168" fontId="0" fillId="0" borderId="0" xfId="2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0" fontId="1" fillId="0" borderId="20" xfId="0" applyFont="1" applyFill="1" applyBorder="1"/>
    <xf numFmtId="167" fontId="0" fillId="0" borderId="0" xfId="0" applyNumberFormat="1" applyFill="1"/>
    <xf numFmtId="0" fontId="0" fillId="0" borderId="0" xfId="0" applyFont="1" applyFill="1" applyBorder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 applyFill="1"/>
    <xf numFmtId="3" fontId="10" fillId="0" borderId="0" xfId="0" applyNumberFormat="1" applyFont="1" applyFill="1"/>
    <xf numFmtId="3" fontId="9" fillId="0" borderId="0" xfId="0" applyNumberFormat="1" applyFont="1"/>
    <xf numFmtId="0" fontId="10" fillId="0" borderId="0" xfId="0" applyFont="1" applyAlignment="1" applyProtection="1">
      <alignment horizontal="left"/>
    </xf>
    <xf numFmtId="0" fontId="10" fillId="0" borderId="0" xfId="0" applyFont="1"/>
    <xf numFmtId="0" fontId="10" fillId="0" borderId="0" xfId="0" applyFont="1" applyFill="1"/>
    <xf numFmtId="3" fontId="10" fillId="0" borderId="0" xfId="0" applyNumberFormat="1" applyFont="1"/>
    <xf numFmtId="0" fontId="10" fillId="0" borderId="0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3" fontId="10" fillId="0" borderId="5" xfId="0" applyNumberFormat="1" applyFont="1" applyFill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0" fillId="0" borderId="6" xfId="0" applyNumberFormat="1" applyFont="1" applyBorder="1"/>
    <xf numFmtId="3" fontId="10" fillId="0" borderId="2" xfId="0" applyNumberFormat="1" applyFont="1" applyFill="1" applyBorder="1"/>
    <xf numFmtId="0" fontId="10" fillId="0" borderId="0" xfId="0" applyFont="1" applyAlignment="1" applyProtection="1">
      <alignment horizontal="right"/>
    </xf>
    <xf numFmtId="10" fontId="13" fillId="0" borderId="0" xfId="0" applyNumberFormat="1" applyFont="1" applyFill="1"/>
    <xf numFmtId="3" fontId="13" fillId="0" borderId="0" xfId="0" applyNumberFormat="1" applyFont="1" applyBorder="1"/>
    <xf numFmtId="3" fontId="13" fillId="0" borderId="0" xfId="0" applyNumberFormat="1" applyFont="1" applyFill="1"/>
    <xf numFmtId="3" fontId="13" fillId="0" borderId="0" xfId="0" applyNumberFormat="1" applyFont="1"/>
    <xf numFmtId="3" fontId="13" fillId="0" borderId="7" xfId="0" applyNumberFormat="1" applyFont="1" applyBorder="1"/>
    <xf numFmtId="0" fontId="10" fillId="0" borderId="0" xfId="0" applyFont="1" applyProtection="1"/>
    <xf numFmtId="0" fontId="10" fillId="0" borderId="0" xfId="0" applyNumberFormat="1" applyFont="1" applyAlignment="1" applyProtection="1">
      <alignment horizontal="left"/>
    </xf>
    <xf numFmtId="3" fontId="10" fillId="0" borderId="8" xfId="0" applyNumberFormat="1" applyFont="1" applyBorder="1"/>
    <xf numFmtId="3" fontId="10" fillId="0" borderId="8" xfId="0" applyNumberFormat="1" applyFont="1" applyFill="1" applyBorder="1"/>
    <xf numFmtId="3" fontId="10" fillId="0" borderId="1" xfId="0" applyNumberFormat="1" applyFont="1" applyFill="1" applyBorder="1"/>
    <xf numFmtId="0" fontId="10" fillId="0" borderId="0" xfId="0" applyNumberFormat="1" applyFont="1"/>
    <xf numFmtId="3" fontId="10" fillId="0" borderId="0" xfId="0" applyNumberFormat="1" applyFont="1" applyBorder="1"/>
    <xf numFmtId="3" fontId="10" fillId="0" borderId="0" xfId="0" applyNumberFormat="1" applyFont="1" applyFill="1" applyBorder="1"/>
    <xf numFmtId="3" fontId="10" fillId="0" borderId="9" xfId="0" applyNumberFormat="1" applyFont="1" applyFill="1" applyBorder="1"/>
    <xf numFmtId="3" fontId="10" fillId="0" borderId="7" xfId="0" applyNumberFormat="1" applyFont="1" applyBorder="1"/>
    <xf numFmtId="3" fontId="10" fillId="0" borderId="0" xfId="0" applyNumberFormat="1" applyFont="1" applyAlignment="1" applyProtection="1">
      <alignment horizontal="right"/>
    </xf>
    <xf numFmtId="3" fontId="10" fillId="0" borderId="10" xfId="0" applyNumberFormat="1" applyFont="1" applyBorder="1"/>
    <xf numFmtId="3" fontId="10" fillId="0" borderId="10" xfId="0" applyNumberFormat="1" applyFont="1" applyFill="1" applyBorder="1"/>
    <xf numFmtId="3" fontId="10" fillId="0" borderId="11" xfId="0" applyNumberFormat="1" applyFont="1" applyBorder="1"/>
    <xf numFmtId="3" fontId="10" fillId="0" borderId="5" xfId="0" applyNumberFormat="1" applyFont="1" applyFill="1" applyBorder="1"/>
    <xf numFmtId="3" fontId="9" fillId="0" borderId="7" xfId="0" applyNumberFormat="1" applyFont="1" applyBorder="1"/>
    <xf numFmtId="3" fontId="9" fillId="0" borderId="1" xfId="0" applyNumberFormat="1" applyFont="1" applyFill="1" applyBorder="1"/>
    <xf numFmtId="0" fontId="10" fillId="0" borderId="0" xfId="0" applyFont="1" applyAlignment="1">
      <alignment horizontal="right"/>
    </xf>
    <xf numFmtId="3" fontId="10" fillId="0" borderId="12" xfId="0" applyNumberFormat="1" applyFont="1" applyBorder="1"/>
    <xf numFmtId="3" fontId="10" fillId="0" borderId="12" xfId="0" applyNumberFormat="1" applyFont="1" applyFill="1" applyBorder="1"/>
    <xf numFmtId="3" fontId="10" fillId="0" borderId="13" xfId="0" applyNumberFormat="1" applyFont="1" applyBorder="1"/>
    <xf numFmtId="3" fontId="10" fillId="0" borderId="14" xfId="0" applyNumberFormat="1" applyFont="1" applyFill="1" applyBorder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0" fontId="6" fillId="0" borderId="0" xfId="3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0" fontId="20" fillId="0" borderId="18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71" fontId="0" fillId="0" borderId="0" xfId="0" applyNumberFormat="1" applyFill="1"/>
  </cellXfs>
  <cellStyles count="5">
    <cellStyle name="Comma [0]" xfId="2" builtinId="6"/>
    <cellStyle name="Hyperlink" xfId="3" builtinId="8"/>
    <cellStyle name="Normal" xfId="0" builtinId="0"/>
    <cellStyle name="Normal 2" xfId="4" xr:uid="{C268E2D6-3B90-431F-9B72-23AEE8C610DD}"/>
    <cellStyle name="Normal 3" xfId="1" xr:uid="{377293A3-1ACB-408D-99D2-04C482BB9145}"/>
  </cellStyles>
  <dxfs count="22">
    <dxf>
      <numFmt numFmtId="167" formatCode="_-* #,##0\ _k_r_-;\-* #,##0\ _k_r_-;_-* &quot;-&quot;\ _k_r_-;_-@_-"/>
      <fill>
        <patternFill patternType="none">
          <fgColor indexed="64"/>
          <bgColor indexed="65"/>
        </patternFill>
      </fill>
    </dxf>
    <dxf>
      <numFmt numFmtId="167" formatCode="_-* #,##0\ _k_r_-;\-* #,##0\ _k_r_-;_-* &quot;-&quot;\ _k_r_-;_-@_-"/>
      <fill>
        <patternFill patternType="none">
          <fgColor indexed="64"/>
          <bgColor indexed="65"/>
        </patternFill>
      </fill>
    </dxf>
    <dxf>
      <numFmt numFmtId="167" formatCode="_-* #,##0\ _k_r_-;\-* #,##0\ _k_r_-;_-* &quot;-&quot;\ _k_r_-;_-@_-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71" formatCode="_(* #,##0_);_(* \(#,##0\);_(* &quot;-&quot;??_);_(@_)"/>
      <fill>
        <patternFill patternType="none">
          <fgColor indexed="64"/>
          <bgColor indexed="65"/>
        </patternFill>
      </fill>
    </dxf>
    <dxf>
      <numFmt numFmtId="171" formatCode="_(* #,##0_);_(* \(#,##0\);_(* &quot;-&quot;??_);_(@_)"/>
      <fill>
        <patternFill patternType="none">
          <fgColor indexed="64"/>
          <bgColor indexed="65"/>
        </patternFill>
      </fill>
    </dxf>
    <dxf>
      <numFmt numFmtId="171" formatCode="_(* #,##0_);_(* \(#,##0\);_(* &quot;-&quot;??_);_(@_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7" formatCode="_-* #,##0\ _k_r_-;\-* #,##0\ _k_r_-;_-* &quot;-&quot;\ _k_r_-;_-@_-"/>
      <fill>
        <patternFill patternType="none">
          <fgColor indexed="64"/>
          <bgColor indexed="65"/>
        </patternFill>
      </fill>
    </dxf>
    <dxf>
      <numFmt numFmtId="167" formatCode="_-* #,##0\ _k_r_-;\-* #,##0\ _k_r_-;_-* &quot;-&quot;\ _k_r_-;_-@_-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71" formatCode="_(* #,##0_);_(* \(#,##0\);_(* &quot;-&quot;??_);_(@_)"/>
      <fill>
        <patternFill patternType="none">
          <fgColor indexed="64"/>
          <bgColor indexed="65"/>
        </patternFill>
      </fill>
    </dxf>
    <dxf>
      <numFmt numFmtId="171" formatCode="_(* #,##0_);_(* \(#,##0\);_(* &quot;-&quot;??_);_(@_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Álagt útsvar í Fjarðabyggð og Fljótsdalshéraði á árunum 2002-2019</a:t>
            </a:r>
            <a:r>
              <a:rPr lang="is-IS" baseline="0"/>
              <a:t> á verðlagi 2019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Birting!$B$4</c:f>
              <c:strCache>
                <c:ptCount val="1"/>
                <c:pt idx="0">
                  <c:v>Fjarðabyggð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Birting!$A$5:$A$22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Birting!$B$5:$B$22</c:f>
              <c:numCache>
                <c:formatCode>_(* #,##0_);_(* \(#,##0\);_(* "-"??_);_(@_)</c:formatCode>
                <c:ptCount val="18"/>
                <c:pt idx="0">
                  <c:v>1861842.9514824799</c:v>
                </c:pt>
                <c:pt idx="1">
                  <c:v>1890241.2776066873</c:v>
                </c:pt>
                <c:pt idx="2">
                  <c:v>1998648.9104859338</c:v>
                </c:pt>
                <c:pt idx="3">
                  <c:v>2388852.1548545677</c:v>
                </c:pt>
                <c:pt idx="4">
                  <c:v>3780300.1335379891</c:v>
                </c:pt>
                <c:pt idx="5">
                  <c:v>4360734.7584947031</c:v>
                </c:pt>
                <c:pt idx="6">
                  <c:v>2878841.1303217425</c:v>
                </c:pt>
                <c:pt idx="7">
                  <c:v>2481435.5362739409</c:v>
                </c:pt>
                <c:pt idx="8">
                  <c:v>2373252.5682819388</c:v>
                </c:pt>
                <c:pt idx="9">
                  <c:v>2600341.6711675934</c:v>
                </c:pt>
                <c:pt idx="10">
                  <c:v>2627512.0291970805</c:v>
                </c:pt>
                <c:pt idx="11">
                  <c:v>2632149.0225345292</c:v>
                </c:pt>
                <c:pt idx="12">
                  <c:v>2703401.3616718119</c:v>
                </c:pt>
                <c:pt idx="13">
                  <c:v>2845838.4560747663</c:v>
                </c:pt>
                <c:pt idx="14">
                  <c:v>2887713.8594073053</c:v>
                </c:pt>
                <c:pt idx="15">
                  <c:v>3011470.0645598196</c:v>
                </c:pt>
                <c:pt idx="16">
                  <c:v>3164336.4632374672</c:v>
                </c:pt>
                <c:pt idx="17">
                  <c:v>3195497.654787879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E1-429F-9DE4-38D1BDBA31BB}"/>
            </c:ext>
          </c:extLst>
        </c:ser>
        <c:ser>
          <c:idx val="1"/>
          <c:order val="1"/>
          <c:tx>
            <c:strRef>
              <c:f>Birting!$C$4</c:f>
              <c:strCache>
                <c:ptCount val="1"/>
                <c:pt idx="0">
                  <c:v>Fljótsdalshérað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Birting!$A$5:$A$22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Birting!$C$5:$C$22</c:f>
              <c:numCache>
                <c:formatCode>_(* #,##0_);_(* \(#,##0\);_(* "-"??_);_(@_)</c:formatCode>
                <c:ptCount val="18"/>
                <c:pt idx="0">
                  <c:v>963901.35849056614</c:v>
                </c:pt>
                <c:pt idx="1">
                  <c:v>1247467.6260448748</c:v>
                </c:pt>
                <c:pt idx="2">
                  <c:v>2120381.0434782607</c:v>
                </c:pt>
                <c:pt idx="3">
                  <c:v>2108552.1827120036</c:v>
                </c:pt>
                <c:pt idx="4">
                  <c:v>2506091.1412125858</c:v>
                </c:pt>
                <c:pt idx="5">
                  <c:v>2565216.0438436246</c:v>
                </c:pt>
                <c:pt idx="6">
                  <c:v>1814301.3266168348</c:v>
                </c:pt>
                <c:pt idx="7">
                  <c:v>1502614.9901334881</c:v>
                </c:pt>
                <c:pt idx="8">
                  <c:v>1360649.5126651982</c:v>
                </c:pt>
                <c:pt idx="9">
                  <c:v>1463185.8204924543</c:v>
                </c:pt>
                <c:pt idx="10">
                  <c:v>1483595.5979666091</c:v>
                </c:pt>
                <c:pt idx="11">
                  <c:v>1519933.0738665841</c:v>
                </c:pt>
                <c:pt idx="12">
                  <c:v>1570024.7703633341</c:v>
                </c:pt>
                <c:pt idx="13">
                  <c:v>1625618.5145280377</c:v>
                </c:pt>
                <c:pt idx="14">
                  <c:v>1775246.5426312888</c:v>
                </c:pt>
                <c:pt idx="15">
                  <c:v>1900822.4954668169</c:v>
                </c:pt>
                <c:pt idx="16">
                  <c:v>1961480.5246710642</c:v>
                </c:pt>
                <c:pt idx="17">
                  <c:v>2004413.8070606063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E1-429F-9DE4-38D1BDBA3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821600"/>
        <c:axId val="658241472"/>
      </c:lineChart>
      <c:catAx>
        <c:axId val="65082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241472"/>
        <c:crosses val="autoZero"/>
        <c:auto val="1"/>
        <c:lblAlgn val="ctr"/>
        <c:lblOffset val="100"/>
        <c:noMultiLvlLbl val="0"/>
      </c:catAx>
      <c:valAx>
        <c:axId val="65824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82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Álagt nettó útsvar í Fjarðabyggð og Fljótsdalshéraði</a:t>
            </a:r>
            <a:endParaRPr lang="is-IS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Birting!$N$4</c:f>
              <c:strCache>
                <c:ptCount val="1"/>
                <c:pt idx="0">
                  <c:v>Fjarðabyggð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Birting!$M$5:$M$22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Birting!$N$5:$N$22</c:f>
              <c:numCache>
                <c:formatCode>_-* #,##0\ _k_r_-;\-* #,##0\ _k_r_-;_-* "-"\ _k_r_-;_-@_-</c:formatCode>
                <c:ptCount val="18"/>
                <c:pt idx="0">
                  <c:v>884435</c:v>
                </c:pt>
                <c:pt idx="1">
                  <c:v>916884</c:v>
                </c:pt>
                <c:pt idx="2">
                  <c:v>1000604</c:v>
                </c:pt>
                <c:pt idx="3">
                  <c:v>1244385</c:v>
                </c:pt>
                <c:pt idx="4">
                  <c:v>2102318</c:v>
                </c:pt>
                <c:pt idx="5">
                  <c:v>2547019</c:v>
                </c:pt>
                <c:pt idx="6">
                  <c:v>1890353</c:v>
                </c:pt>
                <c:pt idx="7">
                  <c:v>1824803</c:v>
                </c:pt>
                <c:pt idx="8">
                  <c:v>1839448</c:v>
                </c:pt>
                <c:pt idx="9">
                  <c:v>2095922</c:v>
                </c:pt>
                <c:pt idx="10">
                  <c:v>2227722</c:v>
                </c:pt>
                <c:pt idx="11">
                  <c:v>2318156</c:v>
                </c:pt>
                <c:pt idx="12">
                  <c:v>2429369</c:v>
                </c:pt>
                <c:pt idx="13">
                  <c:v>2599272</c:v>
                </c:pt>
                <c:pt idx="14">
                  <c:v>2682505</c:v>
                </c:pt>
                <c:pt idx="15">
                  <c:v>2846951</c:v>
                </c:pt>
                <c:pt idx="16">
                  <c:v>3071148.5776363635</c:v>
                </c:pt>
                <c:pt idx="17">
                  <c:v>3195497.654787879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22-4892-8D87-913BEE41A583}"/>
            </c:ext>
          </c:extLst>
        </c:ser>
        <c:ser>
          <c:idx val="1"/>
          <c:order val="1"/>
          <c:tx>
            <c:strRef>
              <c:f>Birting!$O$4</c:f>
              <c:strCache>
                <c:ptCount val="1"/>
                <c:pt idx="0">
                  <c:v>Fljótsdalshérað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Birting!$M$5:$M$22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Birting!$O$5:$O$22</c:f>
              <c:numCache>
                <c:formatCode>_-* #,##0\ _k_r_-;\-* #,##0\ _k_r_-;_-* "-"\ _k_r_-;_-@_-</c:formatCode>
                <c:ptCount val="18"/>
                <c:pt idx="0">
                  <c:v>457884</c:v>
                </c:pt>
                <c:pt idx="1">
                  <c:v>605099</c:v>
                </c:pt>
                <c:pt idx="2">
                  <c:v>1061548</c:v>
                </c:pt>
                <c:pt idx="3">
                  <c:v>1098373</c:v>
                </c:pt>
                <c:pt idx="4">
                  <c:v>1393699</c:v>
                </c:pt>
                <c:pt idx="5">
                  <c:v>1498292</c:v>
                </c:pt>
                <c:pt idx="6">
                  <c:v>1191337</c:v>
                </c:pt>
                <c:pt idx="7">
                  <c:v>1104996</c:v>
                </c:pt>
                <c:pt idx="8">
                  <c:v>1054605</c:v>
                </c:pt>
                <c:pt idx="9">
                  <c:v>1179354</c:v>
                </c:pt>
                <c:pt idx="10">
                  <c:v>1257858.5810331493</c:v>
                </c:pt>
                <c:pt idx="11">
                  <c:v>1338617.9675303868</c:v>
                </c:pt>
                <c:pt idx="12">
                  <c:v>1410878</c:v>
                </c:pt>
                <c:pt idx="13">
                  <c:v>1484773.205757576</c:v>
                </c:pt>
                <c:pt idx="14">
                  <c:v>1649092.659</c:v>
                </c:pt>
                <c:pt idx="15">
                  <c:v>1796979.0129999998</c:v>
                </c:pt>
                <c:pt idx="16">
                  <c:v>1903716.0533939395</c:v>
                </c:pt>
                <c:pt idx="17">
                  <c:v>2004413.8070606063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2-4892-8D87-913BEE41A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871648"/>
        <c:axId val="872808800"/>
      </c:lineChart>
      <c:catAx>
        <c:axId val="87387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808800"/>
        <c:crosses val="autoZero"/>
        <c:auto val="1"/>
        <c:lblAlgn val="ctr"/>
        <c:lblOffset val="100"/>
        <c:noMultiLvlLbl val="0"/>
      </c:catAx>
      <c:valAx>
        <c:axId val="87280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7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Álagt útsvar í Seyðisfjarðarkaupstað, Fljótsdalshreppi og Djúpavogshreppi á verðlagi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Birting!$B$35</c:f>
              <c:strCache>
                <c:ptCount val="1"/>
                <c:pt idx="0">
                  <c:v>Seyðisfjarðarkaupstaður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Birting!$A$36:$A$53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Birting!$B$36:$B$53</c:f>
              <c:numCache>
                <c:formatCode>_(* #,##0_);_(* \(#,##0\);_(* "-"??_);_(@_)</c:formatCode>
                <c:ptCount val="18"/>
                <c:pt idx="0">
                  <c:v>304636.31266846362</c:v>
                </c:pt>
                <c:pt idx="1">
                  <c:v>309517.20633523975</c:v>
                </c:pt>
                <c:pt idx="2">
                  <c:v>319071.4578005115</c:v>
                </c:pt>
                <c:pt idx="3">
                  <c:v>334260.96108152403</c:v>
                </c:pt>
                <c:pt idx="4">
                  <c:v>339263.88257866458</c:v>
                </c:pt>
                <c:pt idx="5">
                  <c:v>348453.83631713554</c:v>
                </c:pt>
                <c:pt idx="6">
                  <c:v>342516.59863503417</c:v>
                </c:pt>
                <c:pt idx="7">
                  <c:v>329602.8508415554</c:v>
                </c:pt>
                <c:pt idx="8">
                  <c:v>297132.65418502205</c:v>
                </c:pt>
                <c:pt idx="9">
                  <c:v>316954.48927720415</c:v>
                </c:pt>
                <c:pt idx="10">
                  <c:v>320117.60885980364</c:v>
                </c:pt>
                <c:pt idx="11">
                  <c:v>320167.07082781626</c:v>
                </c:pt>
                <c:pt idx="12">
                  <c:v>328787.83186891471</c:v>
                </c:pt>
                <c:pt idx="13">
                  <c:v>341637.96339953272</c:v>
                </c:pt>
                <c:pt idx="14">
                  <c:v>357498.49352308759</c:v>
                </c:pt>
                <c:pt idx="15">
                  <c:v>373730.06512009032</c:v>
                </c:pt>
                <c:pt idx="16">
                  <c:v>403062.22423526831</c:v>
                </c:pt>
                <c:pt idx="17">
                  <c:v>399903.6911818182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FC-4808-9561-7D598E617D95}"/>
            </c:ext>
          </c:extLst>
        </c:ser>
        <c:ser>
          <c:idx val="1"/>
          <c:order val="1"/>
          <c:tx>
            <c:strRef>
              <c:f>Birting!$C$35</c:f>
              <c:strCache>
                <c:ptCount val="1"/>
                <c:pt idx="0">
                  <c:v>Fljótsdalshreppur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Birting!$A$36:$A$53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Birting!$C$36:$C$53</c:f>
              <c:numCache>
                <c:formatCode>_(* #,##0_);_(* \(#,##0\);_(* "-"??_);_(@_)</c:formatCode>
                <c:ptCount val="18"/>
                <c:pt idx="0">
                  <c:v>24533.083557951486</c:v>
                </c:pt>
                <c:pt idx="1">
                  <c:v>87384.725912890441</c:v>
                </c:pt>
                <c:pt idx="2">
                  <c:v>256994.9411764706</c:v>
                </c:pt>
                <c:pt idx="3">
                  <c:v>269547.70421958214</c:v>
                </c:pt>
                <c:pt idx="4">
                  <c:v>348376.94781273982</c:v>
                </c:pt>
                <c:pt idx="5">
                  <c:v>343242.2236024845</c:v>
                </c:pt>
                <c:pt idx="6">
                  <c:v>197929.81735456616</c:v>
                </c:pt>
                <c:pt idx="7">
                  <c:v>37694.69529889727</c:v>
                </c:pt>
                <c:pt idx="8">
                  <c:v>27483.802863436129</c:v>
                </c:pt>
                <c:pt idx="9">
                  <c:v>25192.988085782366</c:v>
                </c:pt>
                <c:pt idx="10">
                  <c:v>23629.328970551222</c:v>
                </c:pt>
                <c:pt idx="11">
                  <c:v>26183.149403973832</c:v>
                </c:pt>
                <c:pt idx="12">
                  <c:v>31119.446687247684</c:v>
                </c:pt>
                <c:pt idx="13">
                  <c:v>30386.923188785051</c:v>
                </c:pt>
                <c:pt idx="14">
                  <c:v>35256.998952446593</c:v>
                </c:pt>
                <c:pt idx="15">
                  <c:v>37175.040782844248</c:v>
                </c:pt>
                <c:pt idx="16">
                  <c:v>37017.454025505715</c:v>
                </c:pt>
                <c:pt idx="17">
                  <c:v>42537.638866666668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FC-4808-9561-7D598E617D95}"/>
            </c:ext>
          </c:extLst>
        </c:ser>
        <c:ser>
          <c:idx val="2"/>
          <c:order val="2"/>
          <c:tx>
            <c:strRef>
              <c:f>Birting!$D$35</c:f>
              <c:strCache>
                <c:ptCount val="1"/>
                <c:pt idx="0">
                  <c:v>Djúpavogshreppur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Birting!$A$36:$A$53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Birting!$D$36:$D$53</c:f>
              <c:numCache>
                <c:formatCode>_(* #,##0_);_(* \(#,##0\);_(* "-"??_);_(@_)</c:formatCode>
                <c:ptCount val="18"/>
                <c:pt idx="0">
                  <c:v>187160.01886792455</c:v>
                </c:pt>
                <c:pt idx="1">
                  <c:v>191171.48262208534</c:v>
                </c:pt>
                <c:pt idx="2">
                  <c:v>200239.61125319696</c:v>
                </c:pt>
                <c:pt idx="3">
                  <c:v>194957.56493240476</c:v>
                </c:pt>
                <c:pt idx="4">
                  <c:v>203618.02839600921</c:v>
                </c:pt>
                <c:pt idx="5">
                  <c:v>207271.17939349657</c:v>
                </c:pt>
                <c:pt idx="6">
                  <c:v>201456.88137796559</c:v>
                </c:pt>
                <c:pt idx="7">
                  <c:v>180058.80208937899</c:v>
                </c:pt>
                <c:pt idx="8">
                  <c:v>179731.06552863435</c:v>
                </c:pt>
                <c:pt idx="9">
                  <c:v>192637.15488482924</c:v>
                </c:pt>
                <c:pt idx="10">
                  <c:v>191816.98112257742</c:v>
                </c:pt>
                <c:pt idx="11">
                  <c:v>186317.65829089264</c:v>
                </c:pt>
                <c:pt idx="12">
                  <c:v>205352.73854191403</c:v>
                </c:pt>
                <c:pt idx="13">
                  <c:v>200328.64811495331</c:v>
                </c:pt>
                <c:pt idx="14">
                  <c:v>215767.9281984838</c:v>
                </c:pt>
                <c:pt idx="15">
                  <c:v>238678.15095575622</c:v>
                </c:pt>
                <c:pt idx="16">
                  <c:v>248680.7049912049</c:v>
                </c:pt>
                <c:pt idx="17">
                  <c:v>268253.81130303029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FC-4808-9561-7D598E617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590416"/>
        <c:axId val="872923440"/>
      </c:lineChart>
      <c:catAx>
        <c:axId val="98559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923440"/>
        <c:crosses val="autoZero"/>
        <c:auto val="1"/>
        <c:lblAlgn val="ctr"/>
        <c:lblOffset val="100"/>
        <c:noMultiLvlLbl val="0"/>
      </c:catAx>
      <c:valAx>
        <c:axId val="87292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9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Álagt nettó útsvar í Seyðisfjarðarkaupstað,</a:t>
            </a:r>
            <a:r>
              <a:rPr lang="is-IS" baseline="0"/>
              <a:t> Fljótsdalshreppi og Djúpavogshreppi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Birting!$N$35</c:f>
              <c:strCache>
                <c:ptCount val="1"/>
                <c:pt idx="0">
                  <c:v>Seyðisfjarðarkaupstaður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Birting!$M$36:$M$53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Birting!$N$36:$N$53</c:f>
              <c:numCache>
                <c:formatCode>_-* #,##0\ _k_r_-;\-* #,##0\ _k_r_-;_-* "-"\ _k_r_-;_-@_-</c:formatCode>
                <c:ptCount val="18"/>
                <c:pt idx="0">
                  <c:v>144712</c:v>
                </c:pt>
                <c:pt idx="1">
                  <c:v>150135</c:v>
                </c:pt>
                <c:pt idx="2">
                  <c:v>159740</c:v>
                </c:pt>
                <c:pt idx="3">
                  <c:v>174121</c:v>
                </c:pt>
                <c:pt idx="4">
                  <c:v>188673</c:v>
                </c:pt>
                <c:pt idx="5">
                  <c:v>203525</c:v>
                </c:pt>
                <c:pt idx="6">
                  <c:v>224909</c:v>
                </c:pt>
                <c:pt idx="7">
                  <c:v>242384</c:v>
                </c:pt>
                <c:pt idx="8">
                  <c:v>230300</c:v>
                </c:pt>
                <c:pt idx="9">
                  <c:v>255471</c:v>
                </c:pt>
                <c:pt idx="10">
                  <c:v>271410</c:v>
                </c:pt>
                <c:pt idx="11">
                  <c:v>281973.85858011048</c:v>
                </c:pt>
                <c:pt idx="12">
                  <c:v>295460</c:v>
                </c:pt>
                <c:pt idx="13">
                  <c:v>312038.08863636362</c:v>
                </c:pt>
                <c:pt idx="14">
                  <c:v>332093.67100000003</c:v>
                </c:pt>
                <c:pt idx="15">
                  <c:v>353312.88700000005</c:v>
                </c:pt>
                <c:pt idx="16">
                  <c:v>391192.27396969701</c:v>
                </c:pt>
                <c:pt idx="17">
                  <c:v>399903.6911818182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C-4D5F-9EEB-F7F9453C54DD}"/>
            </c:ext>
          </c:extLst>
        </c:ser>
        <c:ser>
          <c:idx val="1"/>
          <c:order val="1"/>
          <c:tx>
            <c:strRef>
              <c:f>Birting!$O$35</c:f>
              <c:strCache>
                <c:ptCount val="1"/>
                <c:pt idx="0">
                  <c:v>Fljótsdalshreppur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Birting!$M$36:$M$53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Birting!$O$36:$O$53</c:f>
              <c:numCache>
                <c:formatCode>_-* #,##0\ _k_r_-;\-* #,##0\ _k_r_-;_-* "-"\ _k_r_-;_-@_-</c:formatCode>
                <c:ptCount val="18"/>
                <c:pt idx="0">
                  <c:v>11654</c:v>
                </c:pt>
                <c:pt idx="1">
                  <c:v>42387</c:v>
                </c:pt>
                <c:pt idx="2">
                  <c:v>128662</c:v>
                </c:pt>
                <c:pt idx="3">
                  <c:v>140411</c:v>
                </c:pt>
                <c:pt idx="4">
                  <c:v>193741</c:v>
                </c:pt>
                <c:pt idx="5">
                  <c:v>200481</c:v>
                </c:pt>
                <c:pt idx="6">
                  <c:v>129968</c:v>
                </c:pt>
                <c:pt idx="7">
                  <c:v>27720</c:v>
                </c:pt>
                <c:pt idx="8">
                  <c:v>21302</c:v>
                </c:pt>
                <c:pt idx="9">
                  <c:v>20306</c:v>
                </c:pt>
                <c:pt idx="10">
                  <c:v>20034</c:v>
                </c:pt>
                <c:pt idx="11">
                  <c:v>23059.722063636364</c:v>
                </c:pt>
                <c:pt idx="12">
                  <c:v>27965</c:v>
                </c:pt>
                <c:pt idx="13">
                  <c:v>27754.168000000001</c:v>
                </c:pt>
                <c:pt idx="14">
                  <c:v>32751.54</c:v>
                </c:pt>
                <c:pt idx="15">
                  <c:v>35144.137999999999</c:v>
                </c:pt>
                <c:pt idx="16">
                  <c:v>35927.311333333331</c:v>
                </c:pt>
                <c:pt idx="17">
                  <c:v>42537.638866666668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C-4D5F-9EEB-F7F9453C54DD}"/>
            </c:ext>
          </c:extLst>
        </c:ser>
        <c:ser>
          <c:idx val="2"/>
          <c:order val="2"/>
          <c:tx>
            <c:strRef>
              <c:f>Birting!$P$35</c:f>
              <c:strCache>
                <c:ptCount val="1"/>
                <c:pt idx="0">
                  <c:v>Djúpavogshreppur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Birting!$M$36:$M$53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Birting!$P$36:$P$53</c:f>
              <c:numCache>
                <c:formatCode>_-* #,##0\ _k_r_-;\-* #,##0\ _k_r_-;_-* "-"\ _k_r_-;_-@_-</c:formatCode>
                <c:ptCount val="18"/>
                <c:pt idx="0">
                  <c:v>88907</c:v>
                </c:pt>
                <c:pt idx="1">
                  <c:v>92730</c:v>
                </c:pt>
                <c:pt idx="2">
                  <c:v>100248</c:v>
                </c:pt>
                <c:pt idx="3">
                  <c:v>101556</c:v>
                </c:pt>
                <c:pt idx="4">
                  <c:v>113237</c:v>
                </c:pt>
                <c:pt idx="5">
                  <c:v>121063</c:v>
                </c:pt>
                <c:pt idx="6">
                  <c:v>132284</c:v>
                </c:pt>
                <c:pt idx="7">
                  <c:v>132412</c:v>
                </c:pt>
                <c:pt idx="8">
                  <c:v>139305</c:v>
                </c:pt>
                <c:pt idx="9">
                  <c:v>155269</c:v>
                </c:pt>
                <c:pt idx="10">
                  <c:v>162631</c:v>
                </c:pt>
                <c:pt idx="11">
                  <c:v>164091.54412430941</c:v>
                </c:pt>
                <c:pt idx="12">
                  <c:v>184537</c:v>
                </c:pt>
                <c:pt idx="13">
                  <c:v>182971.962</c:v>
                </c:pt>
                <c:pt idx="14">
                  <c:v>200434.86800000002</c:v>
                </c:pt>
                <c:pt idx="15">
                  <c:v>225638.96899999998</c:v>
                </c:pt>
                <c:pt idx="16">
                  <c:v>241357.20151515148</c:v>
                </c:pt>
                <c:pt idx="17">
                  <c:v>268253.81130303029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2C-4D5F-9EEB-F7F9453C5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4796944"/>
        <c:axId val="1455222656"/>
      </c:lineChart>
      <c:catAx>
        <c:axId val="146479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222656"/>
        <c:crosses val="autoZero"/>
        <c:auto val="1"/>
        <c:lblAlgn val="ctr"/>
        <c:lblOffset val="100"/>
        <c:noMultiLvlLbl val="0"/>
      </c:catAx>
      <c:valAx>
        <c:axId val="145522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79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Álagt útsvar per íbúa á verðlagi ársins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Úrvinnsla!$C$65</c:f>
              <c:strCache>
                <c:ptCount val="1"/>
                <c:pt idx="0">
                  <c:v>Seyðisfj.kaupst.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Úrvinnsla!$B$66:$B$79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Úrvinnsla!$C$66:$C$79</c:f>
              <c:numCache>
                <c:formatCode>_-* #,##0\ _k_r_-;\-* #,##0\ _k_r_-;_-* "-"\ _k_r_-;_-@_-</c:formatCode>
                <c:ptCount val="14"/>
                <c:pt idx="0">
                  <c:v>471673.21149245312</c:v>
                </c:pt>
                <c:pt idx="1">
                  <c:v>482030.1991526229</c:v>
                </c:pt>
                <c:pt idx="2">
                  <c:v>502001.76977810805</c:v>
                </c:pt>
                <c:pt idx="3">
                  <c:v>492759.72858963045</c:v>
                </c:pt>
                <c:pt idx="4">
                  <c:v>481001.02681106637</c:v>
                </c:pt>
                <c:pt idx="5">
                  <c:v>457596.80115465913</c:v>
                </c:pt>
                <c:pt idx="6">
                  <c:v>516400.29388403491</c:v>
                </c:pt>
                <c:pt idx="7">
                  <c:v>521554.28218581935</c:v>
                </c:pt>
                <c:pt idx="8">
                  <c:v>530262.69731221697</c:v>
                </c:pt>
                <c:pt idx="9">
                  <c:v>556079.39276953856</c:v>
                </c:pt>
                <c:pt idx="10">
                  <c:v>573421.99105900072</c:v>
                </c:pt>
                <c:pt idx="11">
                  <c:v>607428.23264592059</c:v>
                </c:pt>
                <c:pt idx="12">
                  <c:v>610584.04873041541</c:v>
                </c:pt>
                <c:pt idx="13">
                  <c:v>664325.28613138688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8-438A-B8A8-F303D32F7F99}"/>
            </c:ext>
          </c:extLst>
        </c:ser>
        <c:ser>
          <c:idx val="1"/>
          <c:order val="1"/>
          <c:tx>
            <c:strRef>
              <c:f>Úrvinnsla!$D$65</c:f>
              <c:strCache>
                <c:ptCount val="1"/>
                <c:pt idx="0">
                  <c:v>Fljótsdalshreppur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Úrvinnsla!$B$66:$B$79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Úrvinnsla!$D$66:$D$79</c:f>
              <c:numCache>
                <c:formatCode>_-* #,##0\ _k_r_-;\-* #,##0\ _k_r_-;_-* "-"\ _k_r_-;_-@_-</c:formatCode>
                <c:ptCount val="14"/>
                <c:pt idx="0">
                  <c:v>783212.28948653</c:v>
                </c:pt>
                <c:pt idx="1">
                  <c:v>685787.38544052758</c:v>
                </c:pt>
                <c:pt idx="2">
                  <c:v>967368.65112573898</c:v>
                </c:pt>
                <c:pt idx="3">
                  <c:v>1427735.1153221172</c:v>
                </c:pt>
                <c:pt idx="4">
                  <c:v>439246.06955467019</c:v>
                </c:pt>
                <c:pt idx="5">
                  <c:v>360795.18209446274</c:v>
                </c:pt>
                <c:pt idx="6">
                  <c:v>355885.77460512164</c:v>
                </c:pt>
                <c:pt idx="7">
                  <c:v>329621.26525295747</c:v>
                </c:pt>
                <c:pt idx="8">
                  <c:v>429697.85531435744</c:v>
                </c:pt>
                <c:pt idx="9">
                  <c:v>464655.98005224409</c:v>
                </c:pt>
                <c:pt idx="10">
                  <c:v>459855.18413740851</c:v>
                </c:pt>
                <c:pt idx="11">
                  <c:v>487445.88511967059</c:v>
                </c:pt>
                <c:pt idx="12">
                  <c:v>547777.19226565282</c:v>
                </c:pt>
                <c:pt idx="13">
                  <c:v>663268.79729729728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8-438A-B8A8-F303D32F7F99}"/>
            </c:ext>
          </c:extLst>
        </c:ser>
        <c:ser>
          <c:idx val="2"/>
          <c:order val="2"/>
          <c:tx>
            <c:strRef>
              <c:f>Úrvinnsla!$E$65</c:f>
              <c:strCache>
                <c:ptCount val="1"/>
                <c:pt idx="0">
                  <c:v>Djúpavogshreppur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Úrvinnsla!$B$66:$B$79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Úrvinnsla!$E$66:$E$79</c:f>
              <c:numCache>
                <c:formatCode>_-* #,##0\ _k_r_-;\-* #,##0\ _k_r_-;_-* "-"\ _k_r_-;_-@_-</c:formatCode>
                <c:ptCount val="14"/>
                <c:pt idx="0">
                  <c:v>439082.18102681811</c:v>
                </c:pt>
                <c:pt idx="1">
                  <c:v>453634.53584600415</c:v>
                </c:pt>
                <c:pt idx="2">
                  <c:v>475115.00558762637</c:v>
                </c:pt>
                <c:pt idx="3">
                  <c:v>455709.54035885952</c:v>
                </c:pt>
                <c:pt idx="4">
                  <c:v>422579.03889359685</c:v>
                </c:pt>
                <c:pt idx="5">
                  <c:v>413335.86418836529</c:v>
                </c:pt>
                <c:pt idx="6">
                  <c:v>458241.67736401578</c:v>
                </c:pt>
                <c:pt idx="7">
                  <c:v>467394.75395423529</c:v>
                </c:pt>
                <c:pt idx="8">
                  <c:v>436608.53224793653</c:v>
                </c:pt>
                <c:pt idx="9">
                  <c:v>537431.70575371874</c:v>
                </c:pt>
                <c:pt idx="10">
                  <c:v>485190.54750368913</c:v>
                </c:pt>
                <c:pt idx="11">
                  <c:v>527208.70320133201</c:v>
                </c:pt>
                <c:pt idx="12">
                  <c:v>571802.23999255709</c:v>
                </c:pt>
                <c:pt idx="13">
                  <c:v>646725.29025423725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8-438A-B8A8-F303D32F7F99}"/>
            </c:ext>
          </c:extLst>
        </c:ser>
        <c:ser>
          <c:idx val="3"/>
          <c:order val="3"/>
          <c:tx>
            <c:strRef>
              <c:f>Úrvinnsla!$F$65</c:f>
              <c:strCache>
                <c:ptCount val="1"/>
                <c:pt idx="0">
                  <c:v>Fjarðabyggð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Úrvinnsla!$B$66:$B$79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Úrvinnsla!$F$66:$F$79</c:f>
              <c:numCache>
                <c:formatCode>_-* #,##0\ _k_r_-;\-* #,##0\ _k_r_-;_-* "-"\ _k_r_-;_-@_-</c:formatCode>
                <c:ptCount val="14"/>
                <c:pt idx="0">
                  <c:v>485450.93782728666</c:v>
                </c:pt>
                <c:pt idx="1">
                  <c:v>655472.41035602312</c:v>
                </c:pt>
                <c:pt idx="2">
                  <c:v>844084.84003583563</c:v>
                </c:pt>
                <c:pt idx="3">
                  <c:v>601975.30345722695</c:v>
                </c:pt>
                <c:pt idx="4">
                  <c:v>510075.33865530777</c:v>
                </c:pt>
                <c:pt idx="5">
                  <c:v>495590.21045822167</c:v>
                </c:pt>
                <c:pt idx="6">
                  <c:v>580178.63216092566</c:v>
                </c:pt>
                <c:pt idx="7">
                  <c:v>583501.88391166262</c:v>
                </c:pt>
                <c:pt idx="8">
                  <c:v>577688.48461950128</c:v>
                </c:pt>
                <c:pt idx="9">
                  <c:v>586079.92335153802</c:v>
                </c:pt>
                <c:pt idx="10">
                  <c:v>624507.00227703108</c:v>
                </c:pt>
                <c:pt idx="11">
                  <c:v>632557.5977313777</c:v>
                </c:pt>
                <c:pt idx="12">
                  <c:v>648774.52431181259</c:v>
                </c:pt>
                <c:pt idx="13">
                  <c:v>717210.24694280082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C8-438A-B8A8-F303D32F7F99}"/>
            </c:ext>
          </c:extLst>
        </c:ser>
        <c:ser>
          <c:idx val="4"/>
          <c:order val="4"/>
          <c:tx>
            <c:strRef>
              <c:f>Úrvinnsla!$G$65</c:f>
              <c:strCache>
                <c:ptCount val="1"/>
                <c:pt idx="0">
                  <c:v>Fljótsdalshérað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Úrvinnsla!$B$66:$B$79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Úrvinnsla!$G$66:$G$79</c:f>
              <c:numCache>
                <c:formatCode>_-* #,##0\ _k_r_-;\-* #,##0\ _k_r_-;_-* "-"\ _k_r_-;_-@_-</c:formatCode>
                <c:ptCount val="14"/>
                <c:pt idx="0">
                  <c:v>556974.80120959657</c:v>
                </c:pt>
                <c:pt idx="1">
                  <c:v>556643.05932146253</c:v>
                </c:pt>
                <c:pt idx="2">
                  <c:v>649653.33946811571</c:v>
                </c:pt>
                <c:pt idx="3">
                  <c:v>504846.24273500266</c:v>
                </c:pt>
                <c:pt idx="4">
                  <c:v>446790.1697612892</c:v>
                </c:pt>
                <c:pt idx="5">
                  <c:v>411586.10774100386</c:v>
                </c:pt>
                <c:pt idx="6">
                  <c:v>473419.41990313691</c:v>
                </c:pt>
                <c:pt idx="7">
                  <c:v>475829.43531681009</c:v>
                </c:pt>
                <c:pt idx="8">
                  <c:v>483401.54382446274</c:v>
                </c:pt>
                <c:pt idx="9">
                  <c:v>502016.7818184293</c:v>
                </c:pt>
                <c:pt idx="10">
                  <c:v>521453.66947158129</c:v>
                </c:pt>
                <c:pt idx="11">
                  <c:v>561298.91602442856</c:v>
                </c:pt>
                <c:pt idx="12">
                  <c:v>591853.86528125068</c:v>
                </c:pt>
                <c:pt idx="13">
                  <c:v>633579.07694444444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C8-438A-B8A8-F303D32F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5608032"/>
        <c:axId val="882298928"/>
      </c:barChart>
      <c:catAx>
        <c:axId val="14256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298928"/>
        <c:crosses val="autoZero"/>
        <c:auto val="1"/>
        <c:lblAlgn val="ctr"/>
        <c:lblOffset val="100"/>
        <c:noMultiLvlLbl val="0"/>
      </c:catAx>
      <c:valAx>
        <c:axId val="88229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6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9525</xdr:rowOff>
    </xdr:from>
    <xdr:to>
      <xdr:col>10</xdr:col>
      <xdr:colOff>571500</xdr:colOff>
      <xdr:row>17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13D769-0E98-4DFB-AF57-58FEE3DB88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9525</xdr:colOff>
      <xdr:row>2</xdr:row>
      <xdr:rowOff>171450</xdr:rowOff>
    </xdr:from>
    <xdr:to>
      <xdr:col>22</xdr:col>
      <xdr:colOff>581025</xdr:colOff>
      <xdr:row>17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2AA3AB-CE3C-473E-A162-287395E67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319087</xdr:colOff>
      <xdr:row>33</xdr:row>
      <xdr:rowOff>152400</xdr:rowOff>
    </xdr:from>
    <xdr:to>
      <xdr:col>11</xdr:col>
      <xdr:colOff>242887</xdr:colOff>
      <xdr:row>48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EA72C18-37A7-40F9-B1C2-C100F6131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481012</xdr:colOff>
      <xdr:row>34</xdr:row>
      <xdr:rowOff>9525</xdr:rowOff>
    </xdr:from>
    <xdr:to>
      <xdr:col>23</xdr:col>
      <xdr:colOff>385762</xdr:colOff>
      <xdr:row>48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D892EB8-D842-45D9-A713-86C3C8643B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4</xdr:col>
      <xdr:colOff>581025</xdr:colOff>
      <xdr:row>79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7FAB5B4-6079-4371-A1ED-8BFBB221C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A7FAB4-043A-4439-B991-41A0068BDF02}" name="Table2" displayName="Table2" ref="A4:P22" totalsRowShown="0">
  <autoFilter ref="A4:P22" xr:uid="{5FC48147-8EBA-4442-8258-3785428167A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88D2BA1-8B74-49CE-8D88-BC85051E8DB6}" name="Ár"/>
    <tableColumn id="2" xr3:uid="{6ED0DF84-0B72-4E82-BC7D-26C6C864DD82}" name="Nettó útsvar">
      <calculatedColumnFormula>C5-D5</calculatedColumnFormula>
    </tableColumn>
    <tableColumn id="3" xr3:uid="{5923B11A-73E3-42B0-B7D5-2C4F229812A3}" name="Útsv. m/jöfnsj"/>
    <tableColumn id="4" xr3:uid="{990CC195-D95D-4537-9BB9-BBE66BE66831}" name="jöfnsj"/>
    <tableColumn id="5" xr3:uid="{4171AF1A-AC18-4CBE-917E-86B18A334E24}" name="Nettó útsvar 2">
      <calculatedColumnFormula>F5-G5</calculatedColumnFormula>
    </tableColumn>
    <tableColumn id="6" xr3:uid="{2A7F68A6-C6C3-4398-BA22-D42BBC8FEACE}" name="Útsv. m/jöfnsj 3"/>
    <tableColumn id="7" xr3:uid="{FA46115A-A196-4D53-81A1-2C6A2AD1E8CA}" name="jöfnsj4"/>
    <tableColumn id="8" xr3:uid="{4E390FD1-E358-44B9-9746-A807F89C1221}" name="Nettó útsvar5">
      <calculatedColumnFormula>I5-J5</calculatedColumnFormula>
    </tableColumn>
    <tableColumn id="9" xr3:uid="{FBD721EF-FDB7-4E5B-A4E0-ED874766AE7A}" name="Útsv. m/jöfnsj6"/>
    <tableColumn id="10" xr3:uid="{BA41B8D5-AEFE-47F6-8D9F-139FDF46FECE}" name="jöfnsj7"/>
    <tableColumn id="11" xr3:uid="{401A8A5C-CF84-4361-854C-98034FD4BE82}" name="Nettó útsvar8">
      <calculatedColumnFormula>L5-M5</calculatedColumnFormula>
    </tableColumn>
    <tableColumn id="12" xr3:uid="{50B4DDF7-2EF9-4736-8A0A-2697557D1C45}" name="Útsv. m/jöfnsj9"/>
    <tableColumn id="13" xr3:uid="{CF7F6E64-95E9-42FB-940A-50A15C621C7F}" name="jöfnsj10"/>
    <tableColumn id="14" xr3:uid="{EDE38700-D234-44D5-9253-D1D568B96DDE}" name="Nettó útsvar11">
      <calculatedColumnFormula>O5-P5</calculatedColumnFormula>
    </tableColumn>
    <tableColumn id="15" xr3:uid="{00CF6BFB-1CCF-4A2C-A1AE-06ED8B131E36}" name="Útsv. m/jöfnsj12"/>
    <tableColumn id="16" xr3:uid="{4E3917CA-33E2-4822-80AE-46FBBB36E43F}" name="jöfnsj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442916-E7FD-4D0A-869D-B604C79CE4FB}" name="Table3" displayName="Table3" ref="A35:F53" totalsRowShown="0">
  <autoFilter ref="A35:F53" xr:uid="{9469D716-D843-44AF-AB57-E0D73EF96C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47656D9-8D93-4FC6-9754-47F0E8FCE240}" name="Ár"/>
    <tableColumn id="2" xr3:uid="{1CDB036E-BA19-4146-A2AC-7914FFE97631}" name="Seyðisfjarðarkaupstaður">
      <calculatedColumnFormula>B5</calculatedColumnFormula>
    </tableColumn>
    <tableColumn id="3" xr3:uid="{C2A10861-2001-425B-8F8B-7D50FBF29EBA}" name="Fljótsdalshreppur">
      <calculatedColumnFormula>E5</calculatedColumnFormula>
    </tableColumn>
    <tableColumn id="4" xr3:uid="{A33E59B5-D7EC-4973-BD48-77E3CBEFA0FC}" name="Djúpavogshreppur">
      <calculatedColumnFormula>H5</calculatedColumnFormula>
    </tableColumn>
    <tableColumn id="5" xr3:uid="{67D50423-9946-4C3D-8835-8C1F5C581C7A}" name="Fjarðabyggð">
      <calculatedColumnFormula>K5</calculatedColumnFormula>
    </tableColumn>
    <tableColumn id="6" xr3:uid="{EB2833B3-AE69-4073-A1CE-FFFBD54DF024}" name="Fljótsdalshérað">
      <calculatedColumnFormula>N5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59705E-D051-4499-9C7A-9D36C22B27D6}" name="Table4" displayName="Table4" ref="I35:O53" totalsRowShown="0">
  <autoFilter ref="I35:O53" xr:uid="{89AF77C0-4AC7-4F6C-96CC-943355B895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6CB46B4-15B3-4D93-8424-16F0B7928924}" name="468,6"/>
    <tableColumn id="2" xr3:uid="{C0B4C787-593E-40F9-9A8C-EAED3AF01EFF}" name="Ár"/>
    <tableColumn id="3" xr3:uid="{29C3A6CC-48E7-4FF9-AD92-2A7CD3536858}" name="Seyðisfjarðarkaupstaður">
      <calculatedColumnFormula>Table3[[#This Row],[Seyðisfjarðarkaupstaður]]*$I$35/I36</calculatedColumnFormula>
    </tableColumn>
    <tableColumn id="4" xr3:uid="{130DDB7D-98EC-45F3-A55D-C620EF85F5F5}" name="Fljótsdalshreppur">
      <calculatedColumnFormula>Table3[[#This Row],[Fljótsdalshreppur]]*$I$35/I36</calculatedColumnFormula>
    </tableColumn>
    <tableColumn id="5" xr3:uid="{46ADE154-2ECA-41B8-A26C-95494B58E80F}" name="Djúpavogshreppur">
      <calculatedColumnFormula>Table3[[#This Row],[Djúpavogshreppur]]*$I$35/I36</calculatedColumnFormula>
    </tableColumn>
    <tableColumn id="6" xr3:uid="{4CC9E46A-DAA6-4646-8454-9379544EC0C9}" name="Fjarðabyggð">
      <calculatedColumnFormula>Table3[[#This Row],[Fjarðabyggð]]*$I$35/I36</calculatedColumnFormula>
    </tableColumn>
    <tableColumn id="7" xr3:uid="{40163D90-02CD-43E2-A7FF-2BA1B4373827}" name="Fljótsdalshérað">
      <calculatedColumnFormula>Table3[[#This Row],[Fljótsdalshérað]]*$I$35/I36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1D0117A-0EC0-40D1-9A7F-2E861A7F1F62}" name="Table5" displayName="Table5" ref="A65:G79" totalsRowShown="0">
  <autoFilter ref="A65:G79" xr:uid="{906872F3-DD35-48FB-986E-112D4040504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D2E9592-B180-4669-9934-B06777B6CB32}" name="454,8"/>
    <tableColumn id="2" xr3:uid="{43AE7AB2-ED0C-4AB5-AC03-A8B4C3F60D29}" name="Ár"/>
    <tableColumn id="3" xr3:uid="{FE3C8A4D-D472-4AC8-9E81-60D3B0107882}" name="Seyðisfj.kaupst."/>
    <tableColumn id="4" xr3:uid="{76B4702A-108F-4F01-A1E8-0BAB19EE0CAB}" name="Fljótsdalshreppur"/>
    <tableColumn id="5" xr3:uid="{35C56F74-A1A5-458E-90A5-3A0774016352}" name="Djúpavogshreppur"/>
    <tableColumn id="6" xr3:uid="{2D933F0B-11CB-45D4-B9E8-5E0A962B1981}" name="Fjarðabyggð"/>
    <tableColumn id="7" xr3:uid="{B87FA8E1-CD62-4BAB-9814-68DB98F5F0EB}" name="Fljótsdalshérað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1A14444-5EB1-4F2E-85B8-8B48954C7210}" name="Table6" displayName="Table6" ref="A4:C22" totalsRowShown="0" headerRowDxfId="21" dataDxfId="20">
  <autoFilter ref="A4:C22" xr:uid="{A8208DF5-2ECE-48E8-ADB6-86EC8BF2618C}">
    <filterColumn colId="0" hiddenButton="1"/>
    <filterColumn colId="1" hiddenButton="1"/>
    <filterColumn colId="2" hiddenButton="1"/>
  </autoFilter>
  <tableColumns count="3">
    <tableColumn id="1" xr3:uid="{0C620108-AC95-4E2A-ACBF-4EF7FF36DACB}" name="Ár" dataDxfId="19"/>
    <tableColumn id="2" xr3:uid="{4EBAA0D5-DE59-465B-9183-92864E1F8056}" name="Fjarðabyggð" dataDxfId="18">
      <calculatedColumnFormula>Úrvinnsla!N36</calculatedColumnFormula>
    </tableColumn>
    <tableColumn id="3" xr3:uid="{3B172539-1B56-4092-BA68-E4F1D0FE0A0C}" name="Fljótsdalshérað" dataDxfId="17">
      <calculatedColumnFormula>Úrvinnsla!O36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8A50B4B-C240-4B4D-AAD0-4774FBE55E76}" name="Table7" displayName="Table7" ref="M4:O22" totalsRowShown="0" headerRowDxfId="16" dataDxfId="15">
  <autoFilter ref="M4:O22" xr:uid="{203C6592-2D02-42B2-BE4B-E07CFF905B0D}">
    <filterColumn colId="0" hiddenButton="1"/>
    <filterColumn colId="1" hiddenButton="1"/>
    <filterColumn colId="2" hiddenButton="1"/>
  </autoFilter>
  <tableColumns count="3">
    <tableColumn id="1" xr3:uid="{A591988B-C0DD-40A5-B0C8-37E5D8594256}" name="Ár" dataDxfId="14"/>
    <tableColumn id="2" xr3:uid="{24B3A5B3-441A-47E6-94ED-2E3B87EDC27B}" name="Fjarðabyggð" dataDxfId="13">
      <calculatedColumnFormula>Úrvinnsla!E36</calculatedColumnFormula>
    </tableColumn>
    <tableColumn id="3" xr3:uid="{6B01EE7D-DB86-49C6-AF9E-898AA2FE7C0D}" name="Fljótsdalshérað" dataDxfId="12">
      <calculatedColumnFormula>Úrvinnsla!F36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67C0514-9294-4E53-BE4E-369D9D52C82E}" name="Table8" displayName="Table8" ref="A35:D53" totalsRowShown="0" headerRowDxfId="11" dataDxfId="10">
  <autoFilter ref="A35:D53" xr:uid="{E8FFF7C3-84A0-4878-8CBC-5C08B78DB485}">
    <filterColumn colId="0" hiddenButton="1"/>
    <filterColumn colId="1" hiddenButton="1"/>
    <filterColumn colId="2" hiddenButton="1"/>
    <filterColumn colId="3" hiddenButton="1"/>
  </autoFilter>
  <tableColumns count="4">
    <tableColumn id="1" xr3:uid="{E5150416-20F2-48CE-AFB7-1F0154A8F850}" name="Ár" dataDxfId="9"/>
    <tableColumn id="2" xr3:uid="{8404786E-1B3B-437D-ADF9-0CB840943E7E}" name="Seyðisfjarðarkaupstaður" dataDxfId="8">
      <calculatedColumnFormula>Table4[[#This Row],[Seyðisfjarðarkaupstaður]]</calculatedColumnFormula>
    </tableColumn>
    <tableColumn id="3" xr3:uid="{330A041E-8ED1-4935-9C99-B606F2B1F047}" name="Fljótsdalshreppur" dataDxfId="7">
      <calculatedColumnFormula>Table4[[#This Row],[Fljótsdalshreppur]]</calculatedColumnFormula>
    </tableColumn>
    <tableColumn id="4" xr3:uid="{705B4AC4-C58F-4495-9E6F-9C633F01B04F}" name="Djúpavogshreppur" dataDxfId="6">
      <calculatedColumnFormula>Table4[[#This Row],[Djúpavogshreppur]]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C7FB1E3-55B4-42E0-8492-179561880FCD}" name="Table9" displayName="Table9" ref="M35:P53" totalsRowShown="0" headerRowDxfId="5" dataDxfId="4">
  <autoFilter ref="M35:P53" xr:uid="{23927129-E41B-43B0-AFDE-E9B86AC6F75F}">
    <filterColumn colId="0" hiddenButton="1"/>
    <filterColumn colId="1" hiddenButton="1"/>
    <filterColumn colId="2" hiddenButton="1"/>
    <filterColumn colId="3" hiddenButton="1"/>
  </autoFilter>
  <tableColumns count="4">
    <tableColumn id="1" xr3:uid="{746A3438-509D-41FA-945C-5DA7B62BCA38}" name="Ár" dataDxfId="3"/>
    <tableColumn id="2" xr3:uid="{F501B3C6-F8EF-4B2B-9418-C6DAC939A548}" name="Seyðisfjarðarkaupstaður" dataDxfId="2">
      <calculatedColumnFormula>Table3[[#This Row],[Seyðisfjarðarkaupstaður]]</calculatedColumnFormula>
    </tableColumn>
    <tableColumn id="3" xr3:uid="{B29C30EE-C54E-457B-9A6F-B2683420AA8F}" name="Fljótsdalshreppur" dataDxfId="1">
      <calculatedColumnFormula>Table3[[#This Row],[Fljótsdalshreppur]]</calculatedColumnFormula>
    </tableColumn>
    <tableColumn id="4" xr3:uid="{F3FB1D27-DBF5-422C-9D83-566138510ED6}" name="Djúpavogshreppur" dataDxfId="0">
      <calculatedColumnFormula>Table3[[#This Row],[Djúpavogshreppur]]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mband.is/verkefnin/rekstur-sveitarfelaga/talnaefni/" TargetMode="External"/><Relationship Id="rId1" Type="http://schemas.openxmlformats.org/officeDocument/2006/relationships/hyperlink" Target="https://www.samband.is/verkefnin/fjarmal-sveitarfelaga/tekjustofnar-sveitarfelaga/utsvar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3.vml"/><Relationship Id="rId7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table" Target="../tables/table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Z174"/>
  <sheetViews>
    <sheetView zoomScaleNormal="100" workbookViewId="0">
      <selection activeCell="C179" sqref="C179"/>
    </sheetView>
  </sheetViews>
  <sheetFormatPr defaultColWidth="9.28515625" defaultRowHeight="15"/>
  <cols>
    <col min="1" max="1" width="9.28515625" style="1"/>
    <col min="2" max="2" width="23.42578125" style="1" bestFit="1" customWidth="1"/>
    <col min="3" max="4" width="9.28515625" style="1"/>
    <col min="5" max="5" width="12.5703125" style="1" bestFit="1" customWidth="1"/>
    <col min="6" max="6" width="12.28515625" style="1" bestFit="1" customWidth="1"/>
    <col min="7" max="7" width="9.28515625" style="1"/>
    <col min="8" max="8" width="11.42578125" style="1" bestFit="1" customWidth="1"/>
    <col min="9" max="9" width="12.5703125" style="1" customWidth="1"/>
    <col min="10" max="10" width="10.140625" style="1" bestFit="1" customWidth="1"/>
    <col min="11" max="11" width="13.7109375" style="1" bestFit="1" customWidth="1"/>
    <col min="12" max="12" width="11.42578125" style="1" bestFit="1" customWidth="1"/>
    <col min="13" max="13" width="16.5703125" style="1" customWidth="1"/>
    <col min="14" max="14" width="9.28515625" style="1"/>
    <col min="15" max="15" width="12.140625" style="1" customWidth="1"/>
    <col min="16" max="16" width="12.28515625" style="1" bestFit="1" customWidth="1"/>
    <col min="17" max="17" width="10.85546875" style="1" bestFit="1" customWidth="1"/>
    <col min="18" max="16384" width="9.28515625" style="1"/>
  </cols>
  <sheetData>
    <row r="1" spans="1:26" s="4" customFormat="1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6" t="str">
        <f>A1</f>
        <v>3.2.1 - Útsvarstekjur</v>
      </c>
      <c r="N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>
      <c r="A3" s="7" t="s">
        <v>1</v>
      </c>
      <c r="B3" s="8"/>
      <c r="C3" s="9" t="s">
        <v>2</v>
      </c>
      <c r="D3" s="9"/>
      <c r="E3" s="8"/>
      <c r="F3" s="8"/>
      <c r="G3" s="8"/>
      <c r="H3" s="8"/>
      <c r="I3" s="8"/>
      <c r="J3" s="8"/>
      <c r="K3" s="10"/>
      <c r="L3" s="10"/>
      <c r="M3" s="10"/>
      <c r="N3" s="10"/>
      <c r="O3" s="10"/>
      <c r="P3" s="10"/>
      <c r="Q3" s="10"/>
    </row>
    <row r="4" spans="1:26" ht="15" customHeight="1">
      <c r="A4" s="11" t="s">
        <v>3</v>
      </c>
      <c r="B4" s="58"/>
      <c r="C4" s="58"/>
      <c r="D4" s="113" t="s">
        <v>4</v>
      </c>
      <c r="E4" s="12">
        <v>43741</v>
      </c>
      <c r="F4" s="114" t="s">
        <v>5</v>
      </c>
      <c r="G4" s="114"/>
      <c r="H4" s="114"/>
      <c r="I4" s="114"/>
      <c r="J4" s="114"/>
      <c r="K4" s="114"/>
      <c r="L4" s="114"/>
      <c r="M4" s="19"/>
      <c r="N4" s="19"/>
      <c r="O4" s="19"/>
      <c r="P4" s="19"/>
      <c r="Q4" s="61"/>
    </row>
    <row r="5" spans="1:26" ht="15" customHeight="1">
      <c r="A5" s="13" t="s">
        <v>2</v>
      </c>
      <c r="B5" s="63"/>
      <c r="C5" s="63"/>
      <c r="D5" s="63"/>
      <c r="E5" s="14"/>
      <c r="F5" s="14"/>
      <c r="G5" s="15" t="s">
        <v>6</v>
      </c>
      <c r="H5" s="63"/>
      <c r="I5" s="63"/>
      <c r="J5" s="16"/>
      <c r="K5" s="65"/>
      <c r="L5" s="65"/>
      <c r="M5" s="65"/>
      <c r="N5" s="65"/>
      <c r="O5" s="20" t="s">
        <v>7</v>
      </c>
      <c r="P5" s="20"/>
      <c r="Q5" s="65"/>
    </row>
    <row r="6" spans="1:26">
      <c r="A6" s="17"/>
      <c r="B6" s="18"/>
      <c r="C6" s="17"/>
      <c r="D6" s="17"/>
      <c r="E6" s="17" t="s">
        <v>8</v>
      </c>
      <c r="F6" s="17" t="s">
        <v>8</v>
      </c>
      <c r="G6" s="17" t="s">
        <v>8</v>
      </c>
      <c r="H6" s="17" t="s">
        <v>8</v>
      </c>
      <c r="I6" s="17" t="s">
        <v>8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8</v>
      </c>
      <c r="O6" s="17" t="s">
        <v>9</v>
      </c>
      <c r="P6" s="17" t="s">
        <v>8</v>
      </c>
      <c r="Q6" s="17" t="s">
        <v>9</v>
      </c>
    </row>
    <row r="7" spans="1:26">
      <c r="A7" s="66"/>
      <c r="B7" s="66"/>
      <c r="C7" s="66"/>
      <c r="D7" s="67" t="s">
        <v>10</v>
      </c>
      <c r="E7" s="67" t="s">
        <v>11</v>
      </c>
      <c r="F7" s="68" t="s">
        <v>11</v>
      </c>
      <c r="G7" s="67" t="s">
        <v>12</v>
      </c>
      <c r="H7" s="67" t="s">
        <v>13</v>
      </c>
      <c r="I7" s="68" t="s">
        <v>14</v>
      </c>
      <c r="J7" s="67" t="s">
        <v>12</v>
      </c>
      <c r="K7" s="69" t="s">
        <v>15</v>
      </c>
      <c r="L7" s="69" t="s">
        <v>16</v>
      </c>
      <c r="M7" s="70" t="s">
        <v>17</v>
      </c>
      <c r="N7" s="69" t="s">
        <v>18</v>
      </c>
      <c r="O7" s="70" t="s">
        <v>19</v>
      </c>
      <c r="P7" s="69" t="s">
        <v>14</v>
      </c>
      <c r="Q7" s="69" t="s">
        <v>19</v>
      </c>
    </row>
    <row r="8" spans="1:26">
      <c r="A8" s="66"/>
      <c r="B8" s="66"/>
      <c r="C8" s="66"/>
      <c r="D8" s="71" t="s">
        <v>20</v>
      </c>
      <c r="E8" s="71" t="s">
        <v>21</v>
      </c>
      <c r="F8" s="72" t="s">
        <v>22</v>
      </c>
      <c r="G8" s="71" t="s">
        <v>23</v>
      </c>
      <c r="H8" s="71" t="s">
        <v>24</v>
      </c>
      <c r="I8" s="72" t="s">
        <v>25</v>
      </c>
      <c r="J8" s="71" t="s">
        <v>26</v>
      </c>
      <c r="K8" s="73" t="s">
        <v>27</v>
      </c>
      <c r="L8" s="73" t="s">
        <v>28</v>
      </c>
      <c r="M8" s="74" t="s">
        <v>29</v>
      </c>
      <c r="N8" s="73" t="s">
        <v>30</v>
      </c>
      <c r="O8" s="74" t="s">
        <v>31</v>
      </c>
      <c r="P8" s="73" t="s">
        <v>32</v>
      </c>
      <c r="Q8" s="73" t="s">
        <v>33</v>
      </c>
    </row>
    <row r="9" spans="1:26">
      <c r="A9" s="66"/>
      <c r="B9" s="66"/>
      <c r="C9" s="66"/>
      <c r="D9" s="71" t="s">
        <v>34</v>
      </c>
      <c r="E9" s="71" t="s">
        <v>35</v>
      </c>
      <c r="F9" s="72" t="s">
        <v>30</v>
      </c>
      <c r="G9" s="71" t="s">
        <v>36</v>
      </c>
      <c r="H9" s="71" t="s">
        <v>37</v>
      </c>
      <c r="I9" s="72" t="s">
        <v>38</v>
      </c>
      <c r="J9" s="71" t="s">
        <v>36</v>
      </c>
      <c r="K9" s="73" t="s">
        <v>39</v>
      </c>
      <c r="L9" s="73" t="s">
        <v>40</v>
      </c>
      <c r="M9" s="74" t="s">
        <v>41</v>
      </c>
      <c r="N9" s="73" t="s">
        <v>25</v>
      </c>
      <c r="O9" s="74" t="s">
        <v>42</v>
      </c>
      <c r="P9" s="73" t="s">
        <v>43</v>
      </c>
      <c r="Q9" s="73" t="s">
        <v>44</v>
      </c>
    </row>
    <row r="10" spans="1:26">
      <c r="A10" s="75" t="s">
        <v>45</v>
      </c>
      <c r="B10" s="76" t="s">
        <v>46</v>
      </c>
      <c r="C10" s="77"/>
      <c r="D10" s="78" t="s">
        <v>47</v>
      </c>
      <c r="E10" s="78"/>
      <c r="F10" s="79" t="s">
        <v>48</v>
      </c>
      <c r="G10" s="78"/>
      <c r="H10" s="78"/>
      <c r="I10" s="79" t="s">
        <v>48</v>
      </c>
      <c r="J10" s="78"/>
      <c r="K10" s="80"/>
      <c r="L10" s="80"/>
      <c r="M10" s="81" t="s">
        <v>49</v>
      </c>
      <c r="N10" s="80" t="s">
        <v>50</v>
      </c>
      <c r="O10" s="81"/>
      <c r="P10" s="80" t="s">
        <v>48</v>
      </c>
      <c r="Q10" s="80"/>
    </row>
    <row r="11" spans="1:26" hidden="1">
      <c r="A11" s="63"/>
      <c r="B11" s="63"/>
      <c r="C11" s="63"/>
      <c r="D11" s="63"/>
      <c r="E11" s="63"/>
      <c r="F11" s="64"/>
      <c r="G11" s="63"/>
      <c r="H11" s="63"/>
      <c r="I11" s="64"/>
      <c r="J11" s="63"/>
      <c r="K11" s="60"/>
      <c r="L11" s="60" t="s">
        <v>2</v>
      </c>
      <c r="M11" s="65"/>
      <c r="N11" s="60"/>
      <c r="O11" s="82"/>
      <c r="P11" s="60"/>
      <c r="Q11" s="83"/>
    </row>
    <row r="12" spans="1:26" ht="15" hidden="1" customHeight="1">
      <c r="A12" s="84" t="s">
        <v>51</v>
      </c>
      <c r="B12" s="62" t="s">
        <v>52</v>
      </c>
      <c r="C12" s="84" t="s">
        <v>53</v>
      </c>
      <c r="D12" s="85">
        <v>0.1452</v>
      </c>
      <c r="E12" s="65">
        <v>90320495938</v>
      </c>
      <c r="F12" s="60">
        <v>-10947938901.575758</v>
      </c>
      <c r="G12" s="65">
        <v>80879009</v>
      </c>
      <c r="H12" s="65">
        <v>-3237816868</v>
      </c>
      <c r="I12" s="60">
        <v>392462650.66666669</v>
      </c>
      <c r="J12" s="86">
        <v>-48797897</v>
      </c>
      <c r="K12" s="87">
        <v>-74980453728</v>
      </c>
      <c r="L12" s="87">
        <v>-435573800.91000003</v>
      </c>
      <c r="M12" s="88">
        <v>392640834</v>
      </c>
      <c r="N12" s="60">
        <v>13757598.323704243</v>
      </c>
      <c r="O12" s="89">
        <v>1549654834.504616</v>
      </c>
      <c r="P12" s="60">
        <v>-259611507.99152726</v>
      </c>
      <c r="Q12" s="83">
        <v>1290043326.5130887</v>
      </c>
    </row>
    <row r="13" spans="1:26" ht="15" hidden="1" customHeight="1">
      <c r="A13" s="84">
        <v>1000</v>
      </c>
      <c r="B13" s="62" t="s">
        <v>54</v>
      </c>
      <c r="C13" s="84" t="s">
        <v>55</v>
      </c>
      <c r="D13" s="85">
        <v>0.14480000000000001</v>
      </c>
      <c r="E13" s="65">
        <v>26802620727</v>
      </c>
      <c r="F13" s="60">
        <v>-3257777104.9392262</v>
      </c>
      <c r="G13" s="65">
        <v>16793202</v>
      </c>
      <c r="H13" s="65">
        <v>-668645566</v>
      </c>
      <c r="I13" s="60">
        <v>81271836.751381218</v>
      </c>
      <c r="J13" s="86">
        <v>-16564438</v>
      </c>
      <c r="K13" s="87">
        <v>-22696590982</v>
      </c>
      <c r="L13" s="87">
        <v>-130671019.625</v>
      </c>
      <c r="M13" s="88">
        <v>118272867</v>
      </c>
      <c r="N13" s="60">
        <v>-5200552.0357428752</v>
      </c>
      <c r="O13" s="89">
        <v>243508970.1514138</v>
      </c>
      <c r="P13" s="60">
        <v>-49981857.860125184</v>
      </c>
      <c r="Q13" s="83">
        <v>193527112.29128861</v>
      </c>
    </row>
    <row r="14" spans="1:26" ht="15" hidden="1" customHeight="1">
      <c r="A14" s="84">
        <v>1100</v>
      </c>
      <c r="B14" s="62" t="s">
        <v>56</v>
      </c>
      <c r="C14" s="84" t="s">
        <v>57</v>
      </c>
      <c r="D14" s="85">
        <v>0.13699999999999998</v>
      </c>
      <c r="E14" s="65">
        <v>3470221775</v>
      </c>
      <c r="F14" s="60">
        <v>-445809512.70072997</v>
      </c>
      <c r="G14" s="65">
        <v>1701385</v>
      </c>
      <c r="H14" s="65">
        <v>-65857908</v>
      </c>
      <c r="I14" s="60">
        <v>8460577.9620437976</v>
      </c>
      <c r="J14" s="86">
        <v>-4535067</v>
      </c>
      <c r="K14" s="87">
        <v>-2925721208</v>
      </c>
      <c r="L14" s="87">
        <v>-17007650.925000001</v>
      </c>
      <c r="M14" s="88">
        <v>15375351</v>
      </c>
      <c r="N14" s="60">
        <v>-502822.43749348959</v>
      </c>
      <c r="O14" s="89">
        <v>36324919.89882043</v>
      </c>
      <c r="P14" s="60">
        <v>-4204077.3936788328</v>
      </c>
      <c r="Q14" s="83">
        <v>32120842.505141597</v>
      </c>
    </row>
    <row r="15" spans="1:26" ht="15" hidden="1" customHeight="1">
      <c r="A15" s="84">
        <v>1300</v>
      </c>
      <c r="B15" s="62" t="s">
        <v>58</v>
      </c>
      <c r="C15" s="84" t="s">
        <v>59</v>
      </c>
      <c r="D15" s="85">
        <v>0.13699999999999998</v>
      </c>
      <c r="E15" s="65">
        <v>12270599504</v>
      </c>
      <c r="F15" s="60">
        <v>-1576368987.3751826</v>
      </c>
      <c r="G15" s="65">
        <v>5538814</v>
      </c>
      <c r="H15" s="65">
        <v>-215571154</v>
      </c>
      <c r="I15" s="60">
        <v>27693812.484671537</v>
      </c>
      <c r="J15" s="86">
        <v>-17884535</v>
      </c>
      <c r="K15" s="87">
        <v>-10395545169</v>
      </c>
      <c r="L15" s="87">
        <v>-60213413.145000003</v>
      </c>
      <c r="M15" s="88">
        <v>54581124</v>
      </c>
      <c r="N15" s="60">
        <v>-565292.92150621768</v>
      </c>
      <c r="O15" s="89">
        <v>92264703.042981312</v>
      </c>
      <c r="P15" s="60">
        <v>-11872096.020737872</v>
      </c>
      <c r="Q15" s="83">
        <v>80392607.02224344</v>
      </c>
    </row>
    <row r="16" spans="1:26" ht="15" hidden="1" customHeight="1">
      <c r="A16" s="84">
        <v>1400</v>
      </c>
      <c r="B16" s="62" t="s">
        <v>60</v>
      </c>
      <c r="C16" s="84" t="s">
        <v>61</v>
      </c>
      <c r="D16" s="85">
        <v>0.14480000000000001</v>
      </c>
      <c r="E16" s="65">
        <v>20159148700</v>
      </c>
      <c r="F16" s="60">
        <v>-2450283267.4033146</v>
      </c>
      <c r="G16" s="65">
        <v>15218326</v>
      </c>
      <c r="H16" s="65">
        <v>-608641890</v>
      </c>
      <c r="I16" s="60">
        <v>73978572.265193358</v>
      </c>
      <c r="J16" s="86">
        <v>-11920293</v>
      </c>
      <c r="K16" s="87">
        <v>-16947526270</v>
      </c>
      <c r="L16" s="87">
        <v>-97769024.215000004</v>
      </c>
      <c r="M16" s="88">
        <v>88313241</v>
      </c>
      <c r="N16" s="60">
        <v>774093.47871116176</v>
      </c>
      <c r="O16" s="89">
        <v>221292188.12559241</v>
      </c>
      <c r="P16" s="60">
        <v>-48718150.019303873</v>
      </c>
      <c r="Q16" s="83">
        <v>172574038.10628855</v>
      </c>
    </row>
    <row r="17" spans="1:17" hidden="1">
      <c r="A17" s="84">
        <v>1604</v>
      </c>
      <c r="B17" s="62" t="s">
        <v>62</v>
      </c>
      <c r="C17" s="84" t="s">
        <v>63</v>
      </c>
      <c r="D17" s="85">
        <v>0.14480000000000001</v>
      </c>
      <c r="E17" s="65">
        <v>7938742810</v>
      </c>
      <c r="F17" s="60">
        <v>-964930065.30386734</v>
      </c>
      <c r="G17" s="65">
        <v>4976422</v>
      </c>
      <c r="H17" s="65">
        <v>-197348447</v>
      </c>
      <c r="I17" s="60">
        <v>23987104.055248618</v>
      </c>
      <c r="J17" s="86">
        <v>-5055478</v>
      </c>
      <c r="K17" s="87">
        <v>-6734649262</v>
      </c>
      <c r="L17" s="87">
        <v>-38706576.535000004</v>
      </c>
      <c r="M17" s="88">
        <v>35012567</v>
      </c>
      <c r="N17" s="60">
        <v>-920620.66309314687</v>
      </c>
      <c r="O17" s="89">
        <v>61108453.553287767</v>
      </c>
      <c r="P17" s="60">
        <v>-14814584.591290608</v>
      </c>
      <c r="Q17" s="83">
        <v>46293868.961997159</v>
      </c>
    </row>
    <row r="18" spans="1:17" hidden="1">
      <c r="A18" s="84">
        <v>1606</v>
      </c>
      <c r="B18" s="62" t="s">
        <v>64</v>
      </c>
      <c r="C18" s="84" t="s">
        <v>65</v>
      </c>
      <c r="D18" s="85">
        <v>0.13730000000000001</v>
      </c>
      <c r="E18" s="65">
        <v>156210936</v>
      </c>
      <c r="F18" s="60">
        <v>-20024125.809176985</v>
      </c>
      <c r="G18" s="65">
        <v>249411</v>
      </c>
      <c r="H18" s="65">
        <v>-9790883</v>
      </c>
      <c r="I18" s="60">
        <v>1255058.5637290603</v>
      </c>
      <c r="J18" s="86">
        <v>-181101</v>
      </c>
      <c r="K18" s="87">
        <v>-126119192</v>
      </c>
      <c r="L18" s="87">
        <v>-732441.81500000006</v>
      </c>
      <c r="M18" s="88">
        <v>657340</v>
      </c>
      <c r="N18" s="60">
        <v>-47512.300961398403</v>
      </c>
      <c r="O18" s="89">
        <v>1477489.6385906828</v>
      </c>
      <c r="P18" s="60">
        <v>-895270.43538878369</v>
      </c>
      <c r="Q18" s="83">
        <v>582219.20320189907</v>
      </c>
    </row>
    <row r="19" spans="1:17" hidden="1">
      <c r="A19" s="84">
        <v>2000</v>
      </c>
      <c r="B19" s="62" t="s">
        <v>66</v>
      </c>
      <c r="C19" s="84" t="s">
        <v>67</v>
      </c>
      <c r="D19" s="85">
        <v>0.1452</v>
      </c>
      <c r="E19" s="65">
        <v>12070865484</v>
      </c>
      <c r="F19" s="60">
        <v>-1463135210.1818182</v>
      </c>
      <c r="G19" s="65">
        <v>10019944</v>
      </c>
      <c r="H19" s="65">
        <v>-402529239</v>
      </c>
      <c r="I19" s="60">
        <v>48791422.909090914</v>
      </c>
      <c r="J19" s="86">
        <v>-6944120</v>
      </c>
      <c r="K19" s="87">
        <v>-10132030530</v>
      </c>
      <c r="L19" s="87">
        <v>-58357060.344999999</v>
      </c>
      <c r="M19" s="88">
        <v>52549400</v>
      </c>
      <c r="N19" s="60">
        <v>1251976.4719393961</v>
      </c>
      <c r="O19" s="89">
        <v>120482067.85421143</v>
      </c>
      <c r="P19" s="60">
        <v>-32192567.584625453</v>
      </c>
      <c r="Q19" s="83">
        <v>88289500.269585982</v>
      </c>
    </row>
    <row r="20" spans="1:17" hidden="1">
      <c r="A20" s="84">
        <v>2300</v>
      </c>
      <c r="B20" s="62" t="s">
        <v>68</v>
      </c>
      <c r="C20" s="84" t="s">
        <v>69</v>
      </c>
      <c r="D20" s="85">
        <v>0.1399</v>
      </c>
      <c r="E20" s="65">
        <v>2143039211</v>
      </c>
      <c r="F20" s="60">
        <v>-269603217.39528233</v>
      </c>
      <c r="G20" s="65">
        <v>1003088</v>
      </c>
      <c r="H20" s="65">
        <v>-39384086</v>
      </c>
      <c r="I20" s="60">
        <v>4954681.2980700508</v>
      </c>
      <c r="J20" s="86">
        <v>-2277809</v>
      </c>
      <c r="K20" s="87">
        <v>-1798655756</v>
      </c>
      <c r="L20" s="87">
        <v>-10511902.02</v>
      </c>
      <c r="M20" s="88">
        <v>9310627</v>
      </c>
      <c r="N20" s="60">
        <v>-583693.70181352424</v>
      </c>
      <c r="O20" s="89">
        <v>37291143.180974163</v>
      </c>
      <c r="P20" s="60">
        <v>-2857770.0569350682</v>
      </c>
      <c r="Q20" s="83">
        <v>34433373.124039099</v>
      </c>
    </row>
    <row r="21" spans="1:17" hidden="1">
      <c r="A21" s="84">
        <v>2506</v>
      </c>
      <c r="B21" s="62" t="s">
        <v>70</v>
      </c>
      <c r="C21" s="84" t="s">
        <v>71</v>
      </c>
      <c r="D21" s="85">
        <v>0.1452</v>
      </c>
      <c r="E21" s="65">
        <v>797887481</v>
      </c>
      <c r="F21" s="60">
        <v>-96713634.060606062</v>
      </c>
      <c r="G21" s="65">
        <v>782598</v>
      </c>
      <c r="H21" s="65">
        <v>-31507200</v>
      </c>
      <c r="I21" s="60">
        <v>3819054.5454545454</v>
      </c>
      <c r="J21" s="86">
        <v>-373254</v>
      </c>
      <c r="K21" s="87">
        <v>-664562902</v>
      </c>
      <c r="L21" s="87">
        <v>-3833948.125</v>
      </c>
      <c r="M21" s="88">
        <v>3447105</v>
      </c>
      <c r="N21" s="60">
        <v>413308.15953575727</v>
      </c>
      <c r="O21" s="89">
        <v>9358608.5193842575</v>
      </c>
      <c r="P21" s="60">
        <v>-2296895.3453345457</v>
      </c>
      <c r="Q21" s="83">
        <v>7061713.1740497118</v>
      </c>
    </row>
    <row r="22" spans="1:17" hidden="1">
      <c r="A22" s="84">
        <v>2510</v>
      </c>
      <c r="B22" s="62" t="s">
        <v>72</v>
      </c>
      <c r="C22" s="84" t="s">
        <v>73</v>
      </c>
      <c r="D22" s="85">
        <v>0.1452</v>
      </c>
      <c r="E22" s="65">
        <v>2116382009</v>
      </c>
      <c r="F22" s="60">
        <v>-256531152.60606062</v>
      </c>
      <c r="G22" s="65">
        <v>814599</v>
      </c>
      <c r="H22" s="65">
        <v>-31665484</v>
      </c>
      <c r="I22" s="60">
        <v>3838240.4848484853</v>
      </c>
      <c r="J22" s="86">
        <v>-1293242</v>
      </c>
      <c r="K22" s="87">
        <v>-1819121860</v>
      </c>
      <c r="L22" s="87">
        <v>-10421189.41</v>
      </c>
      <c r="M22" s="88">
        <v>9457101</v>
      </c>
      <c r="N22" s="60">
        <v>339485.90696969745</v>
      </c>
      <c r="O22" s="89">
        <v>11798507.375757692</v>
      </c>
      <c r="P22" s="60">
        <v>-1399601.903989091</v>
      </c>
      <c r="Q22" s="83">
        <v>10398905.471768601</v>
      </c>
    </row>
    <row r="23" spans="1:17" hidden="1">
      <c r="A23" s="84">
        <v>3000</v>
      </c>
      <c r="B23" s="62" t="s">
        <v>74</v>
      </c>
      <c r="C23" s="84" t="s">
        <v>75</v>
      </c>
      <c r="D23" s="85">
        <v>0.1452</v>
      </c>
      <c r="E23" s="65">
        <v>4980037861</v>
      </c>
      <c r="F23" s="60">
        <v>-603640952.84848487</v>
      </c>
      <c r="G23" s="65">
        <v>2863784</v>
      </c>
      <c r="H23" s="65">
        <v>-113085650</v>
      </c>
      <c r="I23" s="60">
        <v>13707351.515151516</v>
      </c>
      <c r="J23" s="86">
        <v>-2952605</v>
      </c>
      <c r="K23" s="87">
        <v>-4242819587</v>
      </c>
      <c r="L23" s="87">
        <v>-24334316.949999999</v>
      </c>
      <c r="M23" s="88">
        <v>22116521</v>
      </c>
      <c r="N23" s="60">
        <v>-1010771.8033757573</v>
      </c>
      <c r="O23" s="89">
        <v>30881633.91329075</v>
      </c>
      <c r="P23" s="60">
        <v>-8750989.1037163641</v>
      </c>
      <c r="Q23" s="83">
        <v>22130644.809574388</v>
      </c>
    </row>
    <row r="24" spans="1:17" hidden="1">
      <c r="A24" s="84">
        <v>3506</v>
      </c>
      <c r="B24" s="62" t="s">
        <v>76</v>
      </c>
      <c r="C24" s="84" t="s">
        <v>77</v>
      </c>
      <c r="D24" s="85">
        <v>0.1244</v>
      </c>
      <c r="E24" s="65">
        <v>35814256</v>
      </c>
      <c r="F24" s="60">
        <v>-5066968.6945337616</v>
      </c>
      <c r="G24" s="65">
        <v>46219</v>
      </c>
      <c r="H24" s="65">
        <v>-1838498</v>
      </c>
      <c r="I24" s="60">
        <v>260109.04180064308</v>
      </c>
      <c r="J24" s="86">
        <v>-27602</v>
      </c>
      <c r="K24" s="87">
        <v>-26722935</v>
      </c>
      <c r="L24" s="87">
        <v>-169971.875</v>
      </c>
      <c r="M24" s="88">
        <v>141100</v>
      </c>
      <c r="N24" s="60">
        <v>29541.917824308668</v>
      </c>
      <c r="O24" s="89">
        <v>2465250.3900911915</v>
      </c>
      <c r="P24" s="60">
        <v>-118723.26044604502</v>
      </c>
      <c r="Q24" s="83">
        <v>2346527.1296451464</v>
      </c>
    </row>
    <row r="25" spans="1:17" ht="15" hidden="1" customHeight="1">
      <c r="A25" s="84">
        <v>3511</v>
      </c>
      <c r="B25" s="62" t="s">
        <v>78</v>
      </c>
      <c r="C25" s="84" t="s">
        <v>79</v>
      </c>
      <c r="D25" s="85">
        <v>0.13689999999999999</v>
      </c>
      <c r="E25" s="65">
        <v>419440364</v>
      </c>
      <c r="F25" s="60">
        <v>-53923669.878743619</v>
      </c>
      <c r="G25" s="65">
        <v>463205</v>
      </c>
      <c r="H25" s="65">
        <v>-18137941</v>
      </c>
      <c r="I25" s="60">
        <v>2331831.7136596055</v>
      </c>
      <c r="J25" s="86">
        <v>-483785</v>
      </c>
      <c r="K25" s="87">
        <v>-343899877</v>
      </c>
      <c r="L25" s="87">
        <v>-2006409.2150000001</v>
      </c>
      <c r="M25" s="88">
        <v>1819974</v>
      </c>
      <c r="N25" s="60">
        <v>-256238.9309199393</v>
      </c>
      <c r="O25" s="89">
        <v>5347453.6889959965</v>
      </c>
      <c r="P25" s="60">
        <v>-1802607.5946593427</v>
      </c>
      <c r="Q25" s="83">
        <v>3544846.0943366541</v>
      </c>
    </row>
    <row r="26" spans="1:17" hidden="1">
      <c r="A26" s="84">
        <v>3609</v>
      </c>
      <c r="B26" s="62" t="s">
        <v>80</v>
      </c>
      <c r="C26" s="84" t="s">
        <v>81</v>
      </c>
      <c r="D26" s="85">
        <v>0.1452</v>
      </c>
      <c r="E26" s="65">
        <v>2319716816</v>
      </c>
      <c r="F26" s="60">
        <v>-281177795.87878788</v>
      </c>
      <c r="G26" s="65">
        <v>2629174</v>
      </c>
      <c r="H26" s="65">
        <v>-104983057</v>
      </c>
      <c r="I26" s="60">
        <v>12725219.030303031</v>
      </c>
      <c r="J26" s="86">
        <v>-975598</v>
      </c>
      <c r="K26" s="87">
        <v>-1921306392</v>
      </c>
      <c r="L26" s="87">
        <v>-11081936.675000001</v>
      </c>
      <c r="M26" s="88">
        <v>10028467</v>
      </c>
      <c r="N26" s="60">
        <v>665097.85116121313</v>
      </c>
      <c r="O26" s="89">
        <v>26239994.327676218</v>
      </c>
      <c r="P26" s="60">
        <v>-8744954.9529599994</v>
      </c>
      <c r="Q26" s="83">
        <v>17495039.374716219</v>
      </c>
    </row>
    <row r="27" spans="1:17" hidden="1">
      <c r="A27" s="84">
        <v>3709</v>
      </c>
      <c r="B27" s="62" t="s">
        <v>82</v>
      </c>
      <c r="C27" s="84" t="s">
        <v>83</v>
      </c>
      <c r="D27" s="85">
        <v>0.1452</v>
      </c>
      <c r="E27" s="65">
        <v>540079893</v>
      </c>
      <c r="F27" s="60">
        <v>-65464229.454545461</v>
      </c>
      <c r="G27" s="65">
        <v>191640</v>
      </c>
      <c r="H27" s="65">
        <v>-7335004</v>
      </c>
      <c r="I27" s="60">
        <v>889091.39393939404</v>
      </c>
      <c r="J27" s="86">
        <v>-392449</v>
      </c>
      <c r="K27" s="87">
        <v>-464478625</v>
      </c>
      <c r="L27" s="87">
        <v>-2662720.4</v>
      </c>
      <c r="M27" s="88">
        <v>2430348</v>
      </c>
      <c r="N27" s="60">
        <v>-402336.79951515154</v>
      </c>
      <c r="O27" s="89">
        <v>2855607.7398787863</v>
      </c>
      <c r="P27" s="60">
        <v>-429000.07353818184</v>
      </c>
      <c r="Q27" s="83">
        <v>2426607.6663406044</v>
      </c>
    </row>
    <row r="28" spans="1:17" hidden="1">
      <c r="A28" s="84">
        <v>3710</v>
      </c>
      <c r="B28" s="62" t="s">
        <v>84</v>
      </c>
      <c r="C28" s="84" t="s">
        <v>85</v>
      </c>
      <c r="D28" s="85">
        <v>0.1452</v>
      </c>
      <c r="E28" s="65">
        <v>30191023</v>
      </c>
      <c r="F28" s="60">
        <v>-3659517.9393939395</v>
      </c>
      <c r="G28" s="65">
        <v>56409</v>
      </c>
      <c r="H28" s="65">
        <v>-2204449</v>
      </c>
      <c r="I28" s="60">
        <v>267205.93939393939</v>
      </c>
      <c r="J28" s="86">
        <v>-33525</v>
      </c>
      <c r="K28" s="87">
        <v>-23987163</v>
      </c>
      <c r="L28" s="87">
        <v>-140047.29</v>
      </c>
      <c r="M28" s="88">
        <v>120005</v>
      </c>
      <c r="N28" s="60">
        <v>119222.36945454548</v>
      </c>
      <c r="O28" s="89">
        <v>729163.0794545454</v>
      </c>
      <c r="P28" s="60">
        <v>-115988.54515636363</v>
      </c>
      <c r="Q28" s="83">
        <v>613174.53429818177</v>
      </c>
    </row>
    <row r="29" spans="1:17" hidden="1">
      <c r="A29" s="84">
        <v>3711</v>
      </c>
      <c r="B29" s="62" t="s">
        <v>86</v>
      </c>
      <c r="C29" s="84" t="s">
        <v>87</v>
      </c>
      <c r="D29" s="85">
        <v>0.1452</v>
      </c>
      <c r="E29" s="65">
        <v>748371555</v>
      </c>
      <c r="F29" s="60">
        <v>-90711703.63636364</v>
      </c>
      <c r="G29" s="65">
        <v>348104</v>
      </c>
      <c r="H29" s="65">
        <v>-14118472</v>
      </c>
      <c r="I29" s="60">
        <v>1711329.9393939395</v>
      </c>
      <c r="J29" s="86">
        <v>-452646</v>
      </c>
      <c r="K29" s="87">
        <v>-638968948</v>
      </c>
      <c r="L29" s="87">
        <v>-3670742.7050000001</v>
      </c>
      <c r="M29" s="88">
        <v>3379043</v>
      </c>
      <c r="N29" s="60">
        <v>-409880.70665597776</v>
      </c>
      <c r="O29" s="89">
        <v>5477638.8913743943</v>
      </c>
      <c r="P29" s="60">
        <v>-903400.78592727287</v>
      </c>
      <c r="Q29" s="83">
        <v>4574238.105447121</v>
      </c>
    </row>
    <row r="30" spans="1:17" hidden="1">
      <c r="A30" s="84">
        <v>3713</v>
      </c>
      <c r="B30" s="62" t="s">
        <v>88</v>
      </c>
      <c r="C30" s="84" t="s">
        <v>89</v>
      </c>
      <c r="D30" s="85">
        <v>0.14480000000000001</v>
      </c>
      <c r="E30" s="65">
        <v>65076790</v>
      </c>
      <c r="F30" s="60">
        <v>-7909886.0773480665</v>
      </c>
      <c r="G30" s="65">
        <v>40871</v>
      </c>
      <c r="H30" s="65">
        <v>-1662479</v>
      </c>
      <c r="I30" s="60">
        <v>202069.27071823203</v>
      </c>
      <c r="J30" s="86">
        <v>-31187</v>
      </c>
      <c r="K30" s="87">
        <v>-53768893</v>
      </c>
      <c r="L30" s="87">
        <v>-317119.97500000003</v>
      </c>
      <c r="M30" s="88">
        <v>279016</v>
      </c>
      <c r="N30" s="60">
        <v>36827.27038276245</v>
      </c>
      <c r="O30" s="89">
        <v>1946008.4887529258</v>
      </c>
      <c r="P30" s="60">
        <v>-46603.291723756898</v>
      </c>
      <c r="Q30" s="83">
        <v>1899405.197029169</v>
      </c>
    </row>
    <row r="31" spans="1:17" hidden="1">
      <c r="A31" s="84">
        <v>3714</v>
      </c>
      <c r="B31" s="62" t="s">
        <v>90</v>
      </c>
      <c r="C31" s="84" t="s">
        <v>91</v>
      </c>
      <c r="D31" s="85">
        <v>0.1452</v>
      </c>
      <c r="E31" s="65">
        <v>1189730279</v>
      </c>
      <c r="F31" s="60">
        <v>-144209730.78787878</v>
      </c>
      <c r="G31" s="65">
        <v>735050</v>
      </c>
      <c r="H31" s="65">
        <v>-29149954</v>
      </c>
      <c r="I31" s="60">
        <v>3533327.7575757578</v>
      </c>
      <c r="J31" s="86">
        <v>-879266</v>
      </c>
      <c r="K31" s="87">
        <v>-1013887857</v>
      </c>
      <c r="L31" s="87">
        <v>-5802180.5449999999</v>
      </c>
      <c r="M31" s="88">
        <v>5279220</v>
      </c>
      <c r="N31" s="60">
        <v>60898.728984242422</v>
      </c>
      <c r="O31" s="89">
        <v>5409787.153681241</v>
      </c>
      <c r="P31" s="60">
        <v>-1947001.783581818</v>
      </c>
      <c r="Q31" s="83">
        <v>3462785.370099423</v>
      </c>
    </row>
    <row r="32" spans="1:17" hidden="1">
      <c r="A32" s="84">
        <v>3811</v>
      </c>
      <c r="B32" s="62" t="s">
        <v>92</v>
      </c>
      <c r="C32" s="84" t="s">
        <v>93</v>
      </c>
      <c r="D32" s="85">
        <v>0.1452</v>
      </c>
      <c r="E32" s="65">
        <v>349270822</v>
      </c>
      <c r="F32" s="60">
        <v>-42335857.212121211</v>
      </c>
      <c r="G32" s="65">
        <v>473408</v>
      </c>
      <c r="H32" s="65">
        <v>-19060762</v>
      </c>
      <c r="I32" s="60">
        <v>2310395.393939394</v>
      </c>
      <c r="J32" s="86">
        <v>-237838</v>
      </c>
      <c r="K32" s="87">
        <v>-290026560</v>
      </c>
      <c r="L32" s="87">
        <v>-1652228.1500000001</v>
      </c>
      <c r="M32" s="88">
        <v>1518868</v>
      </c>
      <c r="N32" s="60">
        <v>193858.08638060617</v>
      </c>
      <c r="O32" s="89">
        <v>454106.11819879327</v>
      </c>
      <c r="P32" s="60">
        <v>-1427807.012050909</v>
      </c>
      <c r="Q32" s="83">
        <v>-973700.89385211573</v>
      </c>
    </row>
    <row r="33" spans="1:17" hidden="1">
      <c r="A33" s="84">
        <v>4100</v>
      </c>
      <c r="B33" s="62" t="s">
        <v>94</v>
      </c>
      <c r="C33" s="84" t="s">
        <v>95</v>
      </c>
      <c r="D33" s="85">
        <v>0.1452</v>
      </c>
      <c r="E33" s="65">
        <v>628840205</v>
      </c>
      <c r="F33" s="60">
        <v>-76223055.151515156</v>
      </c>
      <c r="G33" s="65">
        <v>342323</v>
      </c>
      <c r="H33" s="65">
        <v>-13752429</v>
      </c>
      <c r="I33" s="60">
        <v>1666961.0909090908</v>
      </c>
      <c r="J33" s="86">
        <v>-394248</v>
      </c>
      <c r="K33" s="87">
        <v>-536593128</v>
      </c>
      <c r="L33" s="87">
        <v>-3075179.2549999999</v>
      </c>
      <c r="M33" s="88">
        <v>2751953</v>
      </c>
      <c r="N33" s="60">
        <v>-179091.23366787884</v>
      </c>
      <c r="O33" s="89">
        <v>3384311.4507261184</v>
      </c>
      <c r="P33" s="60">
        <v>-1047500.0342181816</v>
      </c>
      <c r="Q33" s="83">
        <v>2336811.416507937</v>
      </c>
    </row>
    <row r="34" spans="1:17" ht="15" hidden="1" customHeight="1">
      <c r="A34" s="84">
        <v>4200</v>
      </c>
      <c r="B34" s="62" t="s">
        <v>96</v>
      </c>
      <c r="C34" s="84" t="s">
        <v>97</v>
      </c>
      <c r="D34" s="85">
        <v>0.1452</v>
      </c>
      <c r="E34" s="65">
        <v>2559542082</v>
      </c>
      <c r="F34" s="60">
        <v>-310247525.09090912</v>
      </c>
      <c r="G34" s="65">
        <v>2186522</v>
      </c>
      <c r="H34" s="65">
        <v>-87626171</v>
      </c>
      <c r="I34" s="60">
        <v>10621354.060606062</v>
      </c>
      <c r="J34" s="86">
        <v>-1379485</v>
      </c>
      <c r="K34" s="87">
        <v>-2135201455</v>
      </c>
      <c r="L34" s="87">
        <v>-12363614.74</v>
      </c>
      <c r="M34" s="88">
        <v>11040449</v>
      </c>
      <c r="N34" s="60">
        <v>-374263.75737939402</v>
      </c>
      <c r="O34" s="89">
        <v>36197892.472317606</v>
      </c>
      <c r="P34" s="60">
        <v>-7800115.1872799993</v>
      </c>
      <c r="Q34" s="83">
        <v>28397777.285037607</v>
      </c>
    </row>
    <row r="35" spans="1:17" hidden="1">
      <c r="A35" s="84">
        <v>4502</v>
      </c>
      <c r="B35" s="62" t="s">
        <v>98</v>
      </c>
      <c r="C35" s="84" t="s">
        <v>99</v>
      </c>
      <c r="D35" s="85">
        <v>0.1452</v>
      </c>
      <c r="E35" s="65">
        <v>135257028</v>
      </c>
      <c r="F35" s="60">
        <v>-16394791.272727273</v>
      </c>
      <c r="G35" s="65">
        <v>329748</v>
      </c>
      <c r="H35" s="65">
        <v>-13439327</v>
      </c>
      <c r="I35" s="60">
        <v>1629009.3333333335</v>
      </c>
      <c r="J35" s="86">
        <v>-57004</v>
      </c>
      <c r="K35" s="87">
        <v>-107004921</v>
      </c>
      <c r="L35" s="87">
        <v>-610452.22499999998</v>
      </c>
      <c r="M35" s="88">
        <v>579128</v>
      </c>
      <c r="N35" s="60">
        <v>37405.588460606232</v>
      </c>
      <c r="O35" s="89">
        <v>325823.42406665377</v>
      </c>
      <c r="P35" s="60">
        <v>-1107554.3148654546</v>
      </c>
      <c r="Q35" s="83">
        <v>-781730.89079880086</v>
      </c>
    </row>
    <row r="36" spans="1:17" hidden="1">
      <c r="A36" s="84">
        <v>4604</v>
      </c>
      <c r="B36" s="62" t="s">
        <v>100</v>
      </c>
      <c r="C36" s="84" t="s">
        <v>101</v>
      </c>
      <c r="D36" s="85">
        <v>0.1452</v>
      </c>
      <c r="E36" s="65">
        <v>169823061</v>
      </c>
      <c r="F36" s="60">
        <v>-20584613.454545453</v>
      </c>
      <c r="G36" s="65">
        <v>244783</v>
      </c>
      <c r="H36" s="65">
        <v>-10012490</v>
      </c>
      <c r="I36" s="60">
        <v>1213635.1515151514</v>
      </c>
      <c r="J36" s="86">
        <v>-114038</v>
      </c>
      <c r="K36" s="87">
        <v>-139332116</v>
      </c>
      <c r="L36" s="87">
        <v>-799706.58000000007</v>
      </c>
      <c r="M36" s="88">
        <v>719034</v>
      </c>
      <c r="N36" s="60">
        <v>99891.579660605872</v>
      </c>
      <c r="O36" s="89">
        <v>1257440.6966303235</v>
      </c>
      <c r="P36" s="60">
        <v>-936651.95864727278</v>
      </c>
      <c r="Q36" s="83">
        <v>320788.73798305076</v>
      </c>
    </row>
    <row r="37" spans="1:17" hidden="1">
      <c r="A37" s="84">
        <v>4607</v>
      </c>
      <c r="B37" s="62" t="s">
        <v>102</v>
      </c>
      <c r="C37" s="84" t="s">
        <v>103</v>
      </c>
      <c r="D37" s="85">
        <v>0.1452</v>
      </c>
      <c r="E37" s="65">
        <v>692644700</v>
      </c>
      <c r="F37" s="60">
        <v>-83956933.333333343</v>
      </c>
      <c r="G37" s="65">
        <v>574339</v>
      </c>
      <c r="H37" s="65">
        <v>-23100852</v>
      </c>
      <c r="I37" s="60">
        <v>2800103.2727272725</v>
      </c>
      <c r="J37" s="86">
        <v>-391781</v>
      </c>
      <c r="K37" s="87">
        <v>-575462275</v>
      </c>
      <c r="L37" s="87">
        <v>-3348632.0300000003</v>
      </c>
      <c r="M37" s="88">
        <v>2989574</v>
      </c>
      <c r="N37" s="60">
        <v>-86806.618385454756</v>
      </c>
      <c r="O37" s="89">
        <v>12661436.291008422</v>
      </c>
      <c r="P37" s="60">
        <v>-1711587.6774545456</v>
      </c>
      <c r="Q37" s="83">
        <v>10949848.613553876</v>
      </c>
    </row>
    <row r="38" spans="1:17" hidden="1">
      <c r="A38" s="84">
        <v>4803</v>
      </c>
      <c r="B38" s="62" t="s">
        <v>104</v>
      </c>
      <c r="C38" s="84" t="s">
        <v>105</v>
      </c>
      <c r="D38" s="85">
        <v>0.1452</v>
      </c>
      <c r="E38" s="65">
        <v>130593117</v>
      </c>
      <c r="F38" s="60">
        <v>-15829468.727272727</v>
      </c>
      <c r="G38" s="65">
        <v>292553</v>
      </c>
      <c r="H38" s="65">
        <v>-11888310</v>
      </c>
      <c r="I38" s="60">
        <v>1441007.2727272729</v>
      </c>
      <c r="J38" s="86">
        <v>-40707</v>
      </c>
      <c r="K38" s="87">
        <v>-102758389</v>
      </c>
      <c r="L38" s="87">
        <v>-594783.26500000001</v>
      </c>
      <c r="M38" s="88">
        <v>530171</v>
      </c>
      <c r="N38" s="60">
        <v>115366.87674181824</v>
      </c>
      <c r="O38" s="89">
        <v>1860557.1571963648</v>
      </c>
      <c r="P38" s="60">
        <v>-992030.97776727274</v>
      </c>
      <c r="Q38" s="83">
        <v>868526.1794290921</v>
      </c>
    </row>
    <row r="39" spans="1:17" hidden="1">
      <c r="A39" s="84">
        <v>4901</v>
      </c>
      <c r="B39" s="62" t="s">
        <v>106</v>
      </c>
      <c r="C39" s="84" t="s">
        <v>107</v>
      </c>
      <c r="D39" s="85">
        <v>0.1452</v>
      </c>
      <c r="E39" s="65">
        <v>27276819</v>
      </c>
      <c r="F39" s="60">
        <v>-3306281.0909090908</v>
      </c>
      <c r="G39" s="65">
        <v>93548</v>
      </c>
      <c r="H39" s="65">
        <v>-3721729</v>
      </c>
      <c r="I39" s="60">
        <v>451118.66666666669</v>
      </c>
      <c r="J39" s="86">
        <v>-5224</v>
      </c>
      <c r="K39" s="87">
        <v>-21079630</v>
      </c>
      <c r="L39" s="87">
        <v>-118217.07</v>
      </c>
      <c r="M39" s="88">
        <v>109855</v>
      </c>
      <c r="N39" s="60">
        <v>-9386.2383090908988</v>
      </c>
      <c r="O39" s="89">
        <v>-309126.73255151289</v>
      </c>
      <c r="P39" s="60">
        <v>-393509.05747636361</v>
      </c>
      <c r="Q39" s="83">
        <v>-702635.7900278765</v>
      </c>
    </row>
    <row r="40" spans="1:17" hidden="1">
      <c r="A40" s="84">
        <v>4902</v>
      </c>
      <c r="B40" s="62" t="s">
        <v>108</v>
      </c>
      <c r="C40" s="84" t="s">
        <v>109</v>
      </c>
      <c r="D40" s="85">
        <v>0.1452</v>
      </c>
      <c r="E40" s="65">
        <v>77489159</v>
      </c>
      <c r="F40" s="60">
        <v>-9392625.333333334</v>
      </c>
      <c r="G40" s="65">
        <v>105074</v>
      </c>
      <c r="H40" s="65">
        <v>-3915306</v>
      </c>
      <c r="I40" s="60">
        <v>474582.54545454547</v>
      </c>
      <c r="J40" s="86">
        <v>-72946</v>
      </c>
      <c r="K40" s="87">
        <v>-65036956</v>
      </c>
      <c r="L40" s="87">
        <v>-368029.90500000003</v>
      </c>
      <c r="M40" s="88">
        <v>339118</v>
      </c>
      <c r="N40" s="60">
        <v>-42453.326812121202</v>
      </c>
      <c r="O40" s="89">
        <v>-420383.01969090279</v>
      </c>
      <c r="P40" s="60">
        <v>-371332.09642909095</v>
      </c>
      <c r="Q40" s="83">
        <v>-791715.11611999373</v>
      </c>
    </row>
    <row r="41" spans="1:17" hidden="1">
      <c r="A41" s="84">
        <v>4911</v>
      </c>
      <c r="B41" s="62" t="s">
        <v>110</v>
      </c>
      <c r="C41" s="84" t="s">
        <v>111</v>
      </c>
      <c r="D41" s="85">
        <v>0.1452</v>
      </c>
      <c r="E41" s="65">
        <v>297168417</v>
      </c>
      <c r="F41" s="60">
        <v>-36020414.18181818</v>
      </c>
      <c r="G41" s="65">
        <v>510410</v>
      </c>
      <c r="H41" s="65">
        <v>-19931337</v>
      </c>
      <c r="I41" s="60">
        <v>2415919.6363636362</v>
      </c>
      <c r="J41" s="86">
        <v>-141295</v>
      </c>
      <c r="K41" s="87">
        <v>-237499659</v>
      </c>
      <c r="L41" s="87">
        <v>-1388030.9750000001</v>
      </c>
      <c r="M41" s="88">
        <v>1250001</v>
      </c>
      <c r="N41" s="60">
        <v>18581.873178181879</v>
      </c>
      <c r="O41" s="89">
        <v>6382593.3527236208</v>
      </c>
      <c r="P41" s="60">
        <v>-1697777.5931018181</v>
      </c>
      <c r="Q41" s="83">
        <v>4684815.7596218027</v>
      </c>
    </row>
    <row r="42" spans="1:17" hidden="1">
      <c r="A42" s="84">
        <v>5200</v>
      </c>
      <c r="B42" s="62" t="s">
        <v>112</v>
      </c>
      <c r="C42" s="84" t="s">
        <v>113</v>
      </c>
      <c r="D42" s="85">
        <v>0.1452</v>
      </c>
      <c r="E42" s="65">
        <v>2556023998</v>
      </c>
      <c r="F42" s="60">
        <v>-309821090.66666669</v>
      </c>
      <c r="G42" s="65">
        <v>1642954</v>
      </c>
      <c r="H42" s="65">
        <v>-64779142</v>
      </c>
      <c r="I42" s="60">
        <v>7852017.2121212129</v>
      </c>
      <c r="J42" s="86">
        <v>-1320129</v>
      </c>
      <c r="K42" s="87">
        <v>-2167949475</v>
      </c>
      <c r="L42" s="87">
        <v>-12457838.404999999</v>
      </c>
      <c r="M42" s="88">
        <v>11208018</v>
      </c>
      <c r="N42" s="60">
        <v>-1532368.6462969696</v>
      </c>
      <c r="O42" s="89">
        <v>18866943.49415753</v>
      </c>
      <c r="P42" s="60">
        <v>-5338013.8049890921</v>
      </c>
      <c r="Q42" s="83">
        <v>13528929.689168438</v>
      </c>
    </row>
    <row r="43" spans="1:17" hidden="1">
      <c r="A43" s="84">
        <v>5508</v>
      </c>
      <c r="B43" s="62" t="s">
        <v>114</v>
      </c>
      <c r="C43" s="84" t="s">
        <v>115</v>
      </c>
      <c r="D43" s="85">
        <v>0.1452</v>
      </c>
      <c r="E43" s="65">
        <v>710279249</v>
      </c>
      <c r="F43" s="60">
        <v>-86094454.424242422</v>
      </c>
      <c r="G43" s="65">
        <v>1343338</v>
      </c>
      <c r="H43" s="65">
        <v>-52949748</v>
      </c>
      <c r="I43" s="60">
        <v>6418151.2727272725</v>
      </c>
      <c r="J43" s="86">
        <v>-288464</v>
      </c>
      <c r="K43" s="87">
        <v>-568690779</v>
      </c>
      <c r="L43" s="87">
        <v>-3291921.875</v>
      </c>
      <c r="M43" s="88">
        <v>2948180</v>
      </c>
      <c r="N43" s="60">
        <v>35461.587209696416</v>
      </c>
      <c r="O43" s="89">
        <v>9709012.5606945697</v>
      </c>
      <c r="P43" s="60">
        <v>-4505581.9981527282</v>
      </c>
      <c r="Q43" s="83">
        <v>5203430.5625418415</v>
      </c>
    </row>
    <row r="44" spans="1:17" hidden="1">
      <c r="A44" s="84">
        <v>5604</v>
      </c>
      <c r="B44" s="62" t="s">
        <v>116</v>
      </c>
      <c r="C44" s="84" t="s">
        <v>117</v>
      </c>
      <c r="D44" s="85">
        <v>0.1452</v>
      </c>
      <c r="E44" s="65">
        <v>569019757</v>
      </c>
      <c r="F44" s="60">
        <v>-68972091.75757575</v>
      </c>
      <c r="G44" s="65">
        <v>276136</v>
      </c>
      <c r="H44" s="65">
        <v>-10964763</v>
      </c>
      <c r="I44" s="60">
        <v>1329062.1818181816</v>
      </c>
      <c r="J44" s="86">
        <v>-269607</v>
      </c>
      <c r="K44" s="87">
        <v>-477945102</v>
      </c>
      <c r="L44" s="87">
        <v>-2790307.6150000002</v>
      </c>
      <c r="M44" s="88">
        <v>2510550</v>
      </c>
      <c r="N44" s="60">
        <v>-388884.17619636375</v>
      </c>
      <c r="O44" s="89">
        <v>11804749.633046072</v>
      </c>
      <c r="P44" s="60">
        <v>-718179.3677563637</v>
      </c>
      <c r="Q44" s="83">
        <v>11086570.265289709</v>
      </c>
    </row>
    <row r="45" spans="1:17" hidden="1">
      <c r="A45" s="84">
        <v>5609</v>
      </c>
      <c r="B45" s="62" t="s">
        <v>118</v>
      </c>
      <c r="C45" s="84" t="s">
        <v>119</v>
      </c>
      <c r="D45" s="85">
        <v>0.1452</v>
      </c>
      <c r="E45" s="65">
        <v>321865149</v>
      </c>
      <c r="F45" s="60">
        <v>-39013957.454545453</v>
      </c>
      <c r="G45" s="65">
        <v>86339</v>
      </c>
      <c r="H45" s="65">
        <v>-3246739</v>
      </c>
      <c r="I45" s="60">
        <v>393544.12121212122</v>
      </c>
      <c r="J45" s="86">
        <v>-225210</v>
      </c>
      <c r="K45" s="87">
        <v>-279964961</v>
      </c>
      <c r="L45" s="87">
        <v>-1592397.6950000001</v>
      </c>
      <c r="M45" s="88">
        <v>1440656</v>
      </c>
      <c r="N45" s="60">
        <v>-30730.982718787913</v>
      </c>
      <c r="O45" s="89">
        <v>-288308.01105210144</v>
      </c>
      <c r="P45" s="60">
        <v>-164581.8758618182</v>
      </c>
      <c r="Q45" s="83">
        <v>-452889.88691391965</v>
      </c>
    </row>
    <row r="46" spans="1:17" hidden="1">
      <c r="A46" s="84">
        <v>5611</v>
      </c>
      <c r="B46" s="62" t="s">
        <v>120</v>
      </c>
      <c r="C46" s="84" t="s">
        <v>121</v>
      </c>
      <c r="D46" s="85">
        <v>0.1452</v>
      </c>
      <c r="E46" s="65">
        <v>41582006</v>
      </c>
      <c r="F46" s="60">
        <v>-5040243.1515151514</v>
      </c>
      <c r="G46" s="65">
        <v>71808</v>
      </c>
      <c r="H46" s="65">
        <v>-2649260</v>
      </c>
      <c r="I46" s="60">
        <v>321122.42424242425</v>
      </c>
      <c r="J46" s="86">
        <v>-24859</v>
      </c>
      <c r="K46" s="87">
        <v>-34431331</v>
      </c>
      <c r="L46" s="87">
        <v>-194898.47500000001</v>
      </c>
      <c r="M46" s="88">
        <v>183490</v>
      </c>
      <c r="N46" s="60">
        <v>-132053.29393939406</v>
      </c>
      <c r="O46" s="89">
        <v>-314218.49621212063</v>
      </c>
      <c r="P46" s="60">
        <v>-265875.46575272729</v>
      </c>
      <c r="Q46" s="83">
        <v>-580093.96196484799</v>
      </c>
    </row>
    <row r="47" spans="1:17" hidden="1">
      <c r="A47" s="84">
        <v>5612</v>
      </c>
      <c r="B47" s="62" t="s">
        <v>122</v>
      </c>
      <c r="C47" s="84" t="s">
        <v>123</v>
      </c>
      <c r="D47" s="85">
        <v>0.1452</v>
      </c>
      <c r="E47" s="65">
        <v>190927624</v>
      </c>
      <c r="F47" s="60">
        <v>-23142742.303030305</v>
      </c>
      <c r="G47" s="65">
        <v>475089</v>
      </c>
      <c r="H47" s="65">
        <v>-18200238</v>
      </c>
      <c r="I47" s="60">
        <v>2206089.4545454546</v>
      </c>
      <c r="J47" s="86">
        <v>-101761</v>
      </c>
      <c r="K47" s="87">
        <v>-150197111</v>
      </c>
      <c r="L47" s="87">
        <v>-865503.57000000007</v>
      </c>
      <c r="M47" s="88">
        <v>795853</v>
      </c>
      <c r="N47" s="60">
        <v>-25722.152552727261</v>
      </c>
      <c r="O47" s="89">
        <v>1871577.4289624286</v>
      </c>
      <c r="P47" s="60">
        <v>-1693881.9560727272</v>
      </c>
      <c r="Q47" s="83">
        <v>177695.47288970137</v>
      </c>
    </row>
    <row r="48" spans="1:17" hidden="1">
      <c r="A48" s="84">
        <v>5706</v>
      </c>
      <c r="B48" s="62" t="s">
        <v>124</v>
      </c>
      <c r="C48" s="84" t="s">
        <v>125</v>
      </c>
      <c r="D48" s="85">
        <v>0.1452</v>
      </c>
      <c r="E48" s="65">
        <v>101137252</v>
      </c>
      <c r="F48" s="60">
        <v>-12259060.84848485</v>
      </c>
      <c r="G48" s="65">
        <v>230107</v>
      </c>
      <c r="H48" s="65">
        <v>-9070179</v>
      </c>
      <c r="I48" s="60">
        <v>1099415.6363636362</v>
      </c>
      <c r="J48" s="86">
        <v>-51581</v>
      </c>
      <c r="K48" s="87">
        <v>-79995458</v>
      </c>
      <c r="L48" s="87">
        <v>-461227.995</v>
      </c>
      <c r="M48" s="88">
        <v>421311</v>
      </c>
      <c r="N48" s="60">
        <v>-43312.686303030234</v>
      </c>
      <c r="O48" s="89">
        <v>1007266.1065757661</v>
      </c>
      <c r="P48" s="60">
        <v>-876935.89413818181</v>
      </c>
      <c r="Q48" s="83">
        <v>130330.2124375843</v>
      </c>
    </row>
    <row r="49" spans="1:17" hidden="1">
      <c r="A49" s="84">
        <v>6000</v>
      </c>
      <c r="B49" s="62" t="s">
        <v>126</v>
      </c>
      <c r="C49" s="84" t="s">
        <v>127</v>
      </c>
      <c r="D49" s="85">
        <v>0.1452</v>
      </c>
      <c r="E49" s="65">
        <v>12062017267</v>
      </c>
      <c r="F49" s="60">
        <v>-1462062699.030303</v>
      </c>
      <c r="G49" s="65">
        <v>5163599</v>
      </c>
      <c r="H49" s="65">
        <v>-201952569</v>
      </c>
      <c r="I49" s="60">
        <v>24479099.272727273</v>
      </c>
      <c r="J49" s="86">
        <v>-6486389</v>
      </c>
      <c r="K49" s="87">
        <v>-10330775808</v>
      </c>
      <c r="L49" s="87">
        <v>-59293709.539999999</v>
      </c>
      <c r="M49" s="88">
        <v>54057919</v>
      </c>
      <c r="N49" s="60">
        <v>-3100273.7790933345</v>
      </c>
      <c r="O49" s="89">
        <v>82046435.92333068</v>
      </c>
      <c r="P49" s="60">
        <v>-13214951.270301819</v>
      </c>
      <c r="Q49" s="83">
        <v>68831484.653028861</v>
      </c>
    </row>
    <row r="50" spans="1:17" hidden="1">
      <c r="A50" s="84">
        <v>6100</v>
      </c>
      <c r="B50" s="62" t="s">
        <v>128</v>
      </c>
      <c r="C50" s="84" t="s">
        <v>129</v>
      </c>
      <c r="D50" s="85">
        <v>0.1452</v>
      </c>
      <c r="E50" s="65">
        <v>2076452038</v>
      </c>
      <c r="F50" s="60">
        <v>-251691156.12121212</v>
      </c>
      <c r="G50" s="65">
        <v>1364767</v>
      </c>
      <c r="H50" s="65">
        <v>-53735298</v>
      </c>
      <c r="I50" s="60">
        <v>6513369.4545454551</v>
      </c>
      <c r="J50" s="86">
        <v>-927073</v>
      </c>
      <c r="K50" s="87">
        <v>-1729868204</v>
      </c>
      <c r="L50" s="87">
        <v>-10115772.17</v>
      </c>
      <c r="M50" s="88">
        <v>9013103</v>
      </c>
      <c r="N50" s="60">
        <v>1119447.3186981804</v>
      </c>
      <c r="O50" s="89">
        <v>48125221.482031673</v>
      </c>
      <c r="P50" s="60">
        <v>-3257029.0432363637</v>
      </c>
      <c r="Q50" s="83">
        <v>44868192.438795313</v>
      </c>
    </row>
    <row r="51" spans="1:17" hidden="1">
      <c r="A51" s="84">
        <v>6250</v>
      </c>
      <c r="B51" s="62" t="s">
        <v>130</v>
      </c>
      <c r="C51" s="84" t="s">
        <v>131</v>
      </c>
      <c r="D51" s="85">
        <v>0.14480000000000001</v>
      </c>
      <c r="E51" s="65">
        <v>1390923471</v>
      </c>
      <c r="F51" s="60">
        <v>-169062521.33701658</v>
      </c>
      <c r="G51" s="65">
        <v>674234</v>
      </c>
      <c r="H51" s="65">
        <v>-26457183</v>
      </c>
      <c r="I51" s="60">
        <v>3215790.1988950269</v>
      </c>
      <c r="J51" s="86">
        <v>-938878</v>
      </c>
      <c r="K51" s="87">
        <v>-1182571434</v>
      </c>
      <c r="L51" s="87">
        <v>-6821008.2199999997</v>
      </c>
      <c r="M51" s="88">
        <v>6107114</v>
      </c>
      <c r="N51" s="60">
        <v>-328487.99006519344</v>
      </c>
      <c r="O51" s="89">
        <v>14741096.651813203</v>
      </c>
      <c r="P51" s="60">
        <v>-1981273.5637856349</v>
      </c>
      <c r="Q51" s="83">
        <v>12759823.088027569</v>
      </c>
    </row>
    <row r="52" spans="1:17" hidden="1">
      <c r="A52" s="84">
        <v>6400</v>
      </c>
      <c r="B52" s="62" t="s">
        <v>132</v>
      </c>
      <c r="C52" s="84" t="s">
        <v>133</v>
      </c>
      <c r="D52" s="85">
        <v>0.1452</v>
      </c>
      <c r="E52" s="65">
        <v>1196556088</v>
      </c>
      <c r="F52" s="60">
        <v>-145037101.57575756</v>
      </c>
      <c r="G52" s="65">
        <v>558943</v>
      </c>
      <c r="H52" s="65">
        <v>-20826578</v>
      </c>
      <c r="I52" s="60">
        <v>2524433.6969696968</v>
      </c>
      <c r="J52" s="86">
        <v>-594228</v>
      </c>
      <c r="K52" s="87">
        <v>-1020621096</v>
      </c>
      <c r="L52" s="87">
        <v>-5878471.125</v>
      </c>
      <c r="M52" s="88">
        <v>5296733</v>
      </c>
      <c r="N52" s="60">
        <v>-166987.56116484862</v>
      </c>
      <c r="O52" s="89">
        <v>11811735.435047396</v>
      </c>
      <c r="P52" s="60">
        <v>-1136349.8219345456</v>
      </c>
      <c r="Q52" s="83">
        <v>10675385.61311285</v>
      </c>
    </row>
    <row r="53" spans="1:17" hidden="1">
      <c r="A53" s="84">
        <v>6513</v>
      </c>
      <c r="B53" s="62" t="s">
        <v>134</v>
      </c>
      <c r="C53" s="84" t="s">
        <v>135</v>
      </c>
      <c r="D53" s="85">
        <v>0.1452</v>
      </c>
      <c r="E53" s="65">
        <v>657338667</v>
      </c>
      <c r="F53" s="60">
        <v>-79677414.181818187</v>
      </c>
      <c r="G53" s="65">
        <v>576346</v>
      </c>
      <c r="H53" s="65">
        <v>-22648994</v>
      </c>
      <c r="I53" s="60">
        <v>2745332.606060606</v>
      </c>
      <c r="J53" s="86">
        <v>-408878</v>
      </c>
      <c r="K53" s="87">
        <v>-556295500</v>
      </c>
      <c r="L53" s="87">
        <v>-3174285.7050000001</v>
      </c>
      <c r="M53" s="88">
        <v>2901809</v>
      </c>
      <c r="N53" s="60">
        <v>-603631.64266303054</v>
      </c>
      <c r="O53" s="89">
        <v>753451.07657934667</v>
      </c>
      <c r="P53" s="60">
        <v>-1925805.8324509093</v>
      </c>
      <c r="Q53" s="83">
        <v>-1172354.7558715628</v>
      </c>
    </row>
    <row r="54" spans="1:17" hidden="1">
      <c r="A54" s="84">
        <v>6515</v>
      </c>
      <c r="B54" s="62" t="s">
        <v>136</v>
      </c>
      <c r="C54" s="84" t="s">
        <v>137</v>
      </c>
      <c r="D54" s="85">
        <v>0.1452</v>
      </c>
      <c r="E54" s="65">
        <v>348800067</v>
      </c>
      <c r="F54" s="60">
        <v>-42278796</v>
      </c>
      <c r="G54" s="65">
        <v>307470</v>
      </c>
      <c r="H54" s="65">
        <v>-12462229</v>
      </c>
      <c r="I54" s="60">
        <v>1510573.2121212119</v>
      </c>
      <c r="J54" s="86">
        <v>-196927</v>
      </c>
      <c r="K54" s="87">
        <v>-291901154</v>
      </c>
      <c r="L54" s="87">
        <v>-1682241.905</v>
      </c>
      <c r="M54" s="88">
        <v>1517276</v>
      </c>
      <c r="N54" s="60">
        <v>89641.506121212267</v>
      </c>
      <c r="O54" s="89">
        <v>3703679.8132424005</v>
      </c>
      <c r="P54" s="60">
        <v>-773531.77834909107</v>
      </c>
      <c r="Q54" s="83">
        <v>2930148.0348933097</v>
      </c>
    </row>
    <row r="55" spans="1:17" hidden="1">
      <c r="A55" s="84">
        <v>6601</v>
      </c>
      <c r="B55" s="62" t="s">
        <v>138</v>
      </c>
      <c r="C55" s="84" t="s">
        <v>139</v>
      </c>
      <c r="D55" s="85">
        <v>0.1452</v>
      </c>
      <c r="E55" s="65">
        <v>286282504</v>
      </c>
      <c r="F55" s="60">
        <v>-34700909.575757578</v>
      </c>
      <c r="G55" s="65">
        <v>592686</v>
      </c>
      <c r="H55" s="65">
        <v>-23982285</v>
      </c>
      <c r="I55" s="60">
        <v>2906943.6363636362</v>
      </c>
      <c r="J55" s="86">
        <v>-96333</v>
      </c>
      <c r="K55" s="87">
        <v>-227591083</v>
      </c>
      <c r="L55" s="87">
        <v>-1313982.8600000001</v>
      </c>
      <c r="M55" s="88">
        <v>1223930</v>
      </c>
      <c r="N55" s="60">
        <v>-177567.6106424242</v>
      </c>
      <c r="O55" s="89">
        <v>3143902.5899636378</v>
      </c>
      <c r="P55" s="60">
        <v>-2385141.2149527273</v>
      </c>
      <c r="Q55" s="83">
        <v>758761.37501091044</v>
      </c>
    </row>
    <row r="56" spans="1:17" hidden="1">
      <c r="A56" s="84">
        <v>6602</v>
      </c>
      <c r="B56" s="62" t="s">
        <v>140</v>
      </c>
      <c r="C56" s="84" t="s">
        <v>141</v>
      </c>
      <c r="D56" s="85">
        <v>0.1452</v>
      </c>
      <c r="E56" s="65">
        <v>233990934</v>
      </c>
      <c r="F56" s="60">
        <v>-28362537.454545453</v>
      </c>
      <c r="G56" s="65">
        <v>92861</v>
      </c>
      <c r="H56" s="65">
        <v>-2761085</v>
      </c>
      <c r="I56" s="60">
        <v>334676.96969696973</v>
      </c>
      <c r="J56" s="86">
        <v>-145061</v>
      </c>
      <c r="K56" s="87">
        <v>-204216038</v>
      </c>
      <c r="L56" s="87">
        <v>-1155888.2450000001</v>
      </c>
      <c r="M56" s="88">
        <v>1084621</v>
      </c>
      <c r="N56" s="60">
        <v>-336394.09774060606</v>
      </c>
      <c r="O56" s="89">
        <v>-1473910.8275890755</v>
      </c>
      <c r="P56" s="60">
        <v>-193998.88114909094</v>
      </c>
      <c r="Q56" s="83">
        <v>-1667909.7087381664</v>
      </c>
    </row>
    <row r="57" spans="1:17" hidden="1">
      <c r="A57" s="84">
        <v>6607</v>
      </c>
      <c r="B57" s="62" t="s">
        <v>142</v>
      </c>
      <c r="C57" s="84" t="s">
        <v>143</v>
      </c>
      <c r="D57" s="85">
        <v>0.1452</v>
      </c>
      <c r="E57" s="65">
        <v>379803031</v>
      </c>
      <c r="F57" s="60">
        <v>-46036731.030303031</v>
      </c>
      <c r="G57" s="65">
        <v>295821</v>
      </c>
      <c r="H57" s="65">
        <v>-11392808</v>
      </c>
      <c r="I57" s="60">
        <v>1380946.4242424243</v>
      </c>
      <c r="J57" s="86">
        <v>-152928</v>
      </c>
      <c r="K57" s="87">
        <v>-300700271</v>
      </c>
      <c r="L57" s="87">
        <v>-1842765.58</v>
      </c>
      <c r="M57" s="88">
        <v>1577378</v>
      </c>
      <c r="N57" s="60">
        <v>92303.657960000215</v>
      </c>
      <c r="O57" s="89">
        <v>23023976.471899439</v>
      </c>
      <c r="P57" s="60">
        <v>-285748.14369818196</v>
      </c>
      <c r="Q57" s="83">
        <v>22738228.328201257</v>
      </c>
    </row>
    <row r="58" spans="1:17" hidden="1">
      <c r="A58" s="84">
        <v>6611</v>
      </c>
      <c r="B58" s="62" t="s">
        <v>144</v>
      </c>
      <c r="C58" s="84" t="s">
        <v>145</v>
      </c>
      <c r="D58" s="85">
        <v>0.14000000000000001</v>
      </c>
      <c r="E58" s="65">
        <v>36193045</v>
      </c>
      <c r="F58" s="60">
        <v>-4549982.7999999989</v>
      </c>
      <c r="G58" s="65">
        <v>40573</v>
      </c>
      <c r="H58" s="65">
        <v>-1656043</v>
      </c>
      <c r="I58" s="60">
        <v>208188.26285714286</v>
      </c>
      <c r="J58" s="86">
        <v>-45834</v>
      </c>
      <c r="K58" s="87">
        <v>-29611487</v>
      </c>
      <c r="L58" s="87">
        <v>-172658.70500000002</v>
      </c>
      <c r="M58" s="88">
        <v>156822</v>
      </c>
      <c r="N58" s="60">
        <v>-41374.219649714287</v>
      </c>
      <c r="O58" s="89">
        <v>521248.53820743144</v>
      </c>
      <c r="P58" s="60">
        <v>-160752.03719142856</v>
      </c>
      <c r="Q58" s="83">
        <v>360496.50101600285</v>
      </c>
    </row>
    <row r="59" spans="1:17" hidden="1">
      <c r="A59" s="84">
        <v>6612</v>
      </c>
      <c r="B59" s="62" t="s">
        <v>146</v>
      </c>
      <c r="C59" s="84" t="s">
        <v>147</v>
      </c>
      <c r="D59" s="85">
        <v>0.1452</v>
      </c>
      <c r="E59" s="65">
        <v>515493802</v>
      </c>
      <c r="F59" s="60">
        <v>-62484097.212121218</v>
      </c>
      <c r="G59" s="65">
        <v>587265</v>
      </c>
      <c r="H59" s="65">
        <v>-22975627</v>
      </c>
      <c r="I59" s="60">
        <v>2784924.4848484844</v>
      </c>
      <c r="J59" s="86">
        <v>-245640</v>
      </c>
      <c r="K59" s="87">
        <v>-430085553</v>
      </c>
      <c r="L59" s="87">
        <v>-2464299</v>
      </c>
      <c r="M59" s="88">
        <v>2254420</v>
      </c>
      <c r="N59" s="60">
        <v>-677997.28657212132</v>
      </c>
      <c r="O59" s="89">
        <v>2187197.98615513</v>
      </c>
      <c r="P59" s="60">
        <v>-1966569.4364509089</v>
      </c>
      <c r="Q59" s="83">
        <v>220628.54970422108</v>
      </c>
    </row>
    <row r="60" spans="1:17" hidden="1">
      <c r="A60" s="84">
        <v>6706</v>
      </c>
      <c r="B60" s="62" t="s">
        <v>148</v>
      </c>
      <c r="C60" s="84" t="s">
        <v>149</v>
      </c>
      <c r="D60" s="85">
        <v>0.1452</v>
      </c>
      <c r="E60" s="65">
        <v>51828505</v>
      </c>
      <c r="F60" s="60">
        <v>-6282243.0303030312</v>
      </c>
      <c r="G60" s="65">
        <v>241750</v>
      </c>
      <c r="H60" s="65">
        <v>-9852954</v>
      </c>
      <c r="I60" s="60">
        <v>1194297.4545454546</v>
      </c>
      <c r="J60" s="86">
        <v>-14808</v>
      </c>
      <c r="K60" s="87">
        <v>-37224097</v>
      </c>
      <c r="L60" s="87">
        <v>-211012.465</v>
      </c>
      <c r="M60" s="88">
        <v>191252</v>
      </c>
      <c r="N60" s="60">
        <v>998549.6242424245</v>
      </c>
      <c r="O60" s="89">
        <v>869239.58348484652</v>
      </c>
      <c r="P60" s="60">
        <v>-933517.24090909096</v>
      </c>
      <c r="Q60" s="83">
        <v>-64277.657424244448</v>
      </c>
    </row>
    <row r="61" spans="1:17" hidden="1">
      <c r="A61" s="84">
        <v>6709</v>
      </c>
      <c r="B61" s="62" t="s">
        <v>150</v>
      </c>
      <c r="C61" s="84" t="s">
        <v>151</v>
      </c>
      <c r="D61" s="85">
        <v>0.1452</v>
      </c>
      <c r="E61" s="65">
        <v>355420412</v>
      </c>
      <c r="F61" s="60">
        <v>-43081262.060606062</v>
      </c>
      <c r="G61" s="65">
        <v>662929</v>
      </c>
      <c r="H61" s="65">
        <v>-27071891</v>
      </c>
      <c r="I61" s="60">
        <v>3281441.3333333335</v>
      </c>
      <c r="J61" s="86">
        <v>-210927</v>
      </c>
      <c r="K61" s="87">
        <v>-279352846</v>
      </c>
      <c r="L61" s="87">
        <v>-1644002.615</v>
      </c>
      <c r="M61" s="88">
        <v>1467522</v>
      </c>
      <c r="N61" s="60">
        <v>255383.10842424241</v>
      </c>
      <c r="O61" s="89">
        <v>9726758.7661514934</v>
      </c>
      <c r="P61" s="60">
        <v>-2247626.1274472727</v>
      </c>
      <c r="Q61" s="83">
        <v>7479132.6387042208</v>
      </c>
    </row>
    <row r="62" spans="1:17">
      <c r="A62" s="84">
        <v>7000</v>
      </c>
      <c r="B62" s="62" t="s">
        <v>152</v>
      </c>
      <c r="C62" s="84" t="s">
        <v>153</v>
      </c>
      <c r="D62" s="85">
        <v>0.1452</v>
      </c>
      <c r="E62" s="65">
        <v>455062821</v>
      </c>
      <c r="F62" s="60">
        <v>-55159129.81818182</v>
      </c>
      <c r="G62" s="65">
        <v>360877</v>
      </c>
      <c r="H62" s="65">
        <v>-14014054</v>
      </c>
      <c r="I62" s="60">
        <v>1698673.2121212119</v>
      </c>
      <c r="J62" s="86">
        <v>-238614</v>
      </c>
      <c r="K62" s="87">
        <v>-383450229</v>
      </c>
      <c r="L62" s="87">
        <v>-2205855.15</v>
      </c>
      <c r="M62" s="88">
        <v>1994509</v>
      </c>
      <c r="N62" s="60">
        <v>134163.57956484851</v>
      </c>
      <c r="O62" s="89">
        <v>4183161.8235042244</v>
      </c>
      <c r="P62" s="60">
        <v>-903301.35877090925</v>
      </c>
      <c r="Q62" s="83">
        <v>3279860.4647333152</v>
      </c>
    </row>
    <row r="63" spans="1:17">
      <c r="A63" s="84">
        <v>7300</v>
      </c>
      <c r="B63" s="62" t="s">
        <v>154</v>
      </c>
      <c r="C63" s="84" t="s">
        <v>155</v>
      </c>
      <c r="D63" s="85">
        <v>0.1452</v>
      </c>
      <c r="E63" s="65">
        <v>3636255952</v>
      </c>
      <c r="F63" s="60">
        <v>-440758297.21212125</v>
      </c>
      <c r="G63" s="65">
        <v>1531474</v>
      </c>
      <c r="H63" s="65">
        <v>-59477409</v>
      </c>
      <c r="I63" s="60">
        <v>7209382.9090909082</v>
      </c>
      <c r="J63" s="86">
        <v>-2155871</v>
      </c>
      <c r="K63" s="87">
        <v>-3095070379</v>
      </c>
      <c r="L63" s="87">
        <v>-17880770.73</v>
      </c>
      <c r="M63" s="88">
        <v>16246431</v>
      </c>
      <c r="N63" s="60">
        <v>-2641245.969992728</v>
      </c>
      <c r="O63" s="89">
        <v>43259266.996977255</v>
      </c>
      <c r="P63" s="60">
        <v>-3791003.8392436365</v>
      </c>
      <c r="Q63" s="83">
        <v>39468263.157733619</v>
      </c>
    </row>
    <row r="64" spans="1:17">
      <c r="A64" s="84">
        <v>7502</v>
      </c>
      <c r="B64" s="62" t="s">
        <v>156</v>
      </c>
      <c r="C64" s="84" t="s">
        <v>157</v>
      </c>
      <c r="D64" s="85">
        <v>0.1452</v>
      </c>
      <c r="E64" s="65">
        <v>425893166</v>
      </c>
      <c r="F64" s="60">
        <v>-51623414.060606062</v>
      </c>
      <c r="G64" s="65">
        <v>349518</v>
      </c>
      <c r="H64" s="65">
        <v>-13727160</v>
      </c>
      <c r="I64" s="60">
        <v>1663898.1818181821</v>
      </c>
      <c r="J64" s="86">
        <v>-245269</v>
      </c>
      <c r="K64" s="87">
        <v>-357014622</v>
      </c>
      <c r="L64" s="87">
        <v>-2061351.2750000001</v>
      </c>
      <c r="M64" s="88">
        <v>1874106</v>
      </c>
      <c r="N64" s="60">
        <v>-524549.97521939408</v>
      </c>
      <c r="O64" s="89">
        <v>4584321.8709927304</v>
      </c>
      <c r="P64" s="60">
        <v>-1176926.9623199999</v>
      </c>
      <c r="Q64" s="83">
        <v>3407394.9086727304</v>
      </c>
    </row>
    <row r="65" spans="1:17">
      <c r="A65" s="84">
        <v>7505</v>
      </c>
      <c r="B65" s="62" t="s">
        <v>158</v>
      </c>
      <c r="C65" s="84" t="s">
        <v>159</v>
      </c>
      <c r="D65" s="85">
        <v>0.13200000000000001</v>
      </c>
      <c r="E65" s="65">
        <v>49081891</v>
      </c>
      <c r="F65" s="60">
        <v>-6544252.1333333328</v>
      </c>
      <c r="G65" s="65">
        <v>114905</v>
      </c>
      <c r="H65" s="65">
        <v>-4673551</v>
      </c>
      <c r="I65" s="60">
        <v>623140.1333333333</v>
      </c>
      <c r="J65" s="86">
        <v>-64458</v>
      </c>
      <c r="K65" s="87">
        <v>-37201140</v>
      </c>
      <c r="L65" s="87">
        <v>-222293.935</v>
      </c>
      <c r="M65" s="88">
        <v>198615</v>
      </c>
      <c r="N65" s="60">
        <v>-68968.832066666684</v>
      </c>
      <c r="O65" s="89">
        <v>1243887.2329333331</v>
      </c>
      <c r="P65" s="60">
        <v>-478957.52581199998</v>
      </c>
      <c r="Q65" s="83">
        <v>764929.70712133311</v>
      </c>
    </row>
    <row r="66" spans="1:17">
      <c r="A66" s="84">
        <v>7509</v>
      </c>
      <c r="B66" s="62" t="s">
        <v>160</v>
      </c>
      <c r="C66" s="84" t="s">
        <v>161</v>
      </c>
      <c r="D66" s="85">
        <v>0.1452</v>
      </c>
      <c r="E66" s="65">
        <v>67696993</v>
      </c>
      <c r="F66" s="60">
        <v>-8205696.1212121211</v>
      </c>
      <c r="G66" s="65">
        <v>76383</v>
      </c>
      <c r="H66" s="65">
        <v>-3064639</v>
      </c>
      <c r="I66" s="60">
        <v>371471.39393939392</v>
      </c>
      <c r="J66" s="86">
        <v>-41624</v>
      </c>
      <c r="K66" s="87">
        <v>-55434440</v>
      </c>
      <c r="L66" s="87">
        <v>-323335.565</v>
      </c>
      <c r="M66" s="88">
        <v>294937</v>
      </c>
      <c r="N66" s="60">
        <v>-139811.66632363637</v>
      </c>
      <c r="O66" s="89">
        <v>1230238.0414036296</v>
      </c>
      <c r="P66" s="60">
        <v>-275243.24247272726</v>
      </c>
      <c r="Q66" s="83">
        <v>954994.79893090227</v>
      </c>
    </row>
    <row r="67" spans="1:17">
      <c r="A67" s="84">
        <v>7617</v>
      </c>
      <c r="B67" s="62" t="s">
        <v>162</v>
      </c>
      <c r="C67" s="84" t="s">
        <v>163</v>
      </c>
      <c r="D67" s="85">
        <v>0.1452</v>
      </c>
      <c r="E67" s="65">
        <v>305254337</v>
      </c>
      <c r="F67" s="60">
        <v>-37000525.696969695</v>
      </c>
      <c r="G67" s="65">
        <v>240486</v>
      </c>
      <c r="H67" s="65">
        <v>-9731091</v>
      </c>
      <c r="I67" s="60">
        <v>1179526.1818181819</v>
      </c>
      <c r="J67" s="86">
        <v>-213368</v>
      </c>
      <c r="K67" s="87">
        <v>-256436884</v>
      </c>
      <c r="L67" s="87">
        <v>-1477751.82</v>
      </c>
      <c r="M67" s="88">
        <v>1330004</v>
      </c>
      <c r="N67" s="60">
        <v>223142.724121212</v>
      </c>
      <c r="O67" s="89">
        <v>3367875.388969711</v>
      </c>
      <c r="P67" s="60">
        <v>-275682.39783272729</v>
      </c>
      <c r="Q67" s="83">
        <v>3092192.991136984</v>
      </c>
    </row>
    <row r="68" spans="1:17">
      <c r="A68" s="84">
        <v>7620</v>
      </c>
      <c r="B68" s="62" t="s">
        <v>164</v>
      </c>
      <c r="C68" s="84" t="s">
        <v>165</v>
      </c>
      <c r="D68" s="85">
        <v>0.1452</v>
      </c>
      <c r="E68" s="65">
        <v>2280884677</v>
      </c>
      <c r="F68" s="60">
        <v>-276470869.93939394</v>
      </c>
      <c r="G68" s="65">
        <v>1517492</v>
      </c>
      <c r="H68" s="65">
        <v>-60135642</v>
      </c>
      <c r="I68" s="60">
        <v>7289168.7272727285</v>
      </c>
      <c r="J68" s="86">
        <v>-1141453</v>
      </c>
      <c r="K68" s="87">
        <v>-1935614519</v>
      </c>
      <c r="L68" s="87">
        <v>-11105625.370000001</v>
      </c>
      <c r="M68" s="88">
        <v>10186882</v>
      </c>
      <c r="N68" s="60">
        <v>-797205.45040242444</v>
      </c>
      <c r="O68" s="89">
        <v>14612904.967476327</v>
      </c>
      <c r="P68" s="60">
        <v>-2803012.7320690909</v>
      </c>
      <c r="Q68" s="83">
        <v>11809892.235407237</v>
      </c>
    </row>
    <row r="69" spans="1:17" hidden="1">
      <c r="A69" s="84">
        <v>7708</v>
      </c>
      <c r="B69" s="62" t="s">
        <v>166</v>
      </c>
      <c r="C69" s="84" t="s">
        <v>167</v>
      </c>
      <c r="D69" s="85">
        <v>0.1452</v>
      </c>
      <c r="E69" s="65">
        <v>1679530481</v>
      </c>
      <c r="F69" s="60">
        <v>-203579452.24242425</v>
      </c>
      <c r="G69" s="65">
        <v>1241533</v>
      </c>
      <c r="H69" s="65">
        <v>-48645720</v>
      </c>
      <c r="I69" s="60">
        <v>5896450.9090909092</v>
      </c>
      <c r="J69" s="86">
        <v>-967637</v>
      </c>
      <c r="K69" s="87">
        <v>-1386396570</v>
      </c>
      <c r="L69" s="87">
        <v>-8155793.2850000001</v>
      </c>
      <c r="M69" s="88">
        <v>7233130</v>
      </c>
      <c r="N69" s="60">
        <v>-196027.37094787869</v>
      </c>
      <c r="O69" s="89">
        <v>45960395.010718875</v>
      </c>
      <c r="P69" s="60">
        <v>-3401302.1451927274</v>
      </c>
      <c r="Q69" s="83">
        <v>42559092.865526147</v>
      </c>
    </row>
    <row r="70" spans="1:17" hidden="1">
      <c r="A70" s="84">
        <v>8000</v>
      </c>
      <c r="B70" s="62" t="s">
        <v>168</v>
      </c>
      <c r="C70" s="84" t="s">
        <v>169</v>
      </c>
      <c r="D70" s="85">
        <v>0.14460000000000001</v>
      </c>
      <c r="E70" s="65">
        <v>2982156805</v>
      </c>
      <c r="F70" s="60">
        <v>-362973442.37897646</v>
      </c>
      <c r="G70" s="65">
        <v>1472926</v>
      </c>
      <c r="H70" s="65">
        <v>-57767444</v>
      </c>
      <c r="I70" s="60">
        <v>7031168.8409405258</v>
      </c>
      <c r="J70" s="86">
        <v>-2286423</v>
      </c>
      <c r="K70" s="87">
        <v>-2543477726</v>
      </c>
      <c r="L70" s="87">
        <v>-14617879.32</v>
      </c>
      <c r="M70" s="88">
        <v>13368703</v>
      </c>
      <c r="N70" s="60">
        <v>-684353.59338401048</v>
      </c>
      <c r="O70" s="89">
        <v>22222334.548580121</v>
      </c>
      <c r="P70" s="60">
        <v>-4008651.6600448126</v>
      </c>
      <c r="Q70" s="83">
        <v>18213682.88853531</v>
      </c>
    </row>
    <row r="71" spans="1:17" hidden="1">
      <c r="A71" s="84">
        <v>8200</v>
      </c>
      <c r="B71" s="62" t="s">
        <v>170</v>
      </c>
      <c r="C71" s="84" t="s">
        <v>171</v>
      </c>
      <c r="D71" s="85">
        <v>0.1452</v>
      </c>
      <c r="E71" s="65">
        <v>6018707281</v>
      </c>
      <c r="F71" s="60">
        <v>-729540276.4848485</v>
      </c>
      <c r="G71" s="65">
        <v>4163299</v>
      </c>
      <c r="H71" s="65">
        <v>-164586478</v>
      </c>
      <c r="I71" s="60">
        <v>19949876.121212125</v>
      </c>
      <c r="J71" s="86">
        <v>-2964916</v>
      </c>
      <c r="K71" s="87">
        <v>-5101919490</v>
      </c>
      <c r="L71" s="87">
        <v>-29276595.93</v>
      </c>
      <c r="M71" s="88">
        <v>26480479</v>
      </c>
      <c r="N71" s="60">
        <v>812856.24076606147</v>
      </c>
      <c r="O71" s="89">
        <v>41826034.947130047</v>
      </c>
      <c r="P71" s="60">
        <v>-11848636.394912727</v>
      </c>
      <c r="Q71" s="83">
        <v>29977398.55221732</v>
      </c>
    </row>
    <row r="72" spans="1:17" hidden="1">
      <c r="A72" s="84">
        <v>8508</v>
      </c>
      <c r="B72" s="62" t="s">
        <v>172</v>
      </c>
      <c r="C72" s="84" t="s">
        <v>173</v>
      </c>
      <c r="D72" s="85">
        <v>0.1452</v>
      </c>
      <c r="E72" s="65">
        <v>547523434</v>
      </c>
      <c r="F72" s="60">
        <v>-66366476.848484851</v>
      </c>
      <c r="G72" s="65">
        <v>815274</v>
      </c>
      <c r="H72" s="65">
        <v>-33078745</v>
      </c>
      <c r="I72" s="60">
        <v>4009544.8484848491</v>
      </c>
      <c r="J72" s="86">
        <v>-167758</v>
      </c>
      <c r="K72" s="87">
        <v>-422089831</v>
      </c>
      <c r="L72" s="87">
        <v>-2575461.0249999999</v>
      </c>
      <c r="M72" s="88">
        <v>2241882</v>
      </c>
      <c r="N72" s="60">
        <v>2050051.306830303</v>
      </c>
      <c r="O72" s="89">
        <v>32361914.281830303</v>
      </c>
      <c r="P72" s="60">
        <v>-1792803.557061818</v>
      </c>
      <c r="Q72" s="83">
        <v>30569110.724768486</v>
      </c>
    </row>
    <row r="73" spans="1:17" hidden="1">
      <c r="A73" s="84">
        <v>8509</v>
      </c>
      <c r="B73" s="62" t="s">
        <v>174</v>
      </c>
      <c r="C73" s="84" t="s">
        <v>175</v>
      </c>
      <c r="D73" s="85">
        <v>0.1452</v>
      </c>
      <c r="E73" s="65">
        <v>396504117</v>
      </c>
      <c r="F73" s="60">
        <v>-48061105.090909094</v>
      </c>
      <c r="G73" s="65">
        <v>635192</v>
      </c>
      <c r="H73" s="65">
        <v>-25922073</v>
      </c>
      <c r="I73" s="60">
        <v>3142069.4545454546</v>
      </c>
      <c r="J73" s="86">
        <v>-121846</v>
      </c>
      <c r="K73" s="87">
        <v>-314319774</v>
      </c>
      <c r="L73" s="87">
        <v>-1855476.95</v>
      </c>
      <c r="M73" s="88">
        <v>1642256</v>
      </c>
      <c r="N73" s="60">
        <v>-596562.78569454537</v>
      </c>
      <c r="O73" s="89">
        <v>11046796.62794177</v>
      </c>
      <c r="P73" s="60">
        <v>-2477497.0529781822</v>
      </c>
      <c r="Q73" s="83">
        <v>8569299.5749635883</v>
      </c>
    </row>
    <row r="74" spans="1:17" hidden="1">
      <c r="A74" s="84">
        <v>8610</v>
      </c>
      <c r="B74" s="62" t="s">
        <v>176</v>
      </c>
      <c r="C74" s="84" t="s">
        <v>177</v>
      </c>
      <c r="D74" s="85">
        <v>0.1244</v>
      </c>
      <c r="E74" s="65">
        <v>145676304</v>
      </c>
      <c r="F74" s="60">
        <v>-20610152.334405147</v>
      </c>
      <c r="G74" s="65">
        <v>494083</v>
      </c>
      <c r="H74" s="65">
        <v>-20142609</v>
      </c>
      <c r="I74" s="60">
        <v>2849758.186495177</v>
      </c>
      <c r="J74" s="86">
        <v>-151476</v>
      </c>
      <c r="K74" s="87">
        <v>-103004762</v>
      </c>
      <c r="L74" s="87">
        <v>-629381.51</v>
      </c>
      <c r="M74" s="88">
        <v>550072</v>
      </c>
      <c r="N74" s="60">
        <v>-36897.387717041769</v>
      </c>
      <c r="O74" s="89">
        <v>4994938.9543729741</v>
      </c>
      <c r="P74" s="60">
        <v>-2366306.600865338</v>
      </c>
      <c r="Q74" s="83">
        <v>2628632.3535076361</v>
      </c>
    </row>
    <row r="75" spans="1:17" hidden="1">
      <c r="A75" s="84">
        <v>8613</v>
      </c>
      <c r="B75" s="62" t="s">
        <v>178</v>
      </c>
      <c r="C75" s="84" t="s">
        <v>179</v>
      </c>
      <c r="D75" s="85">
        <v>0.1452</v>
      </c>
      <c r="E75" s="65">
        <v>1210353350</v>
      </c>
      <c r="F75" s="60">
        <v>-146709496.96969697</v>
      </c>
      <c r="G75" s="65">
        <v>1730348</v>
      </c>
      <c r="H75" s="65">
        <v>-68814972</v>
      </c>
      <c r="I75" s="60">
        <v>8341208.7272727275</v>
      </c>
      <c r="J75" s="86">
        <v>-468157</v>
      </c>
      <c r="K75" s="87">
        <v>-973258889</v>
      </c>
      <c r="L75" s="87">
        <v>-5714002.8449999997</v>
      </c>
      <c r="M75" s="88">
        <v>5040404</v>
      </c>
      <c r="N75" s="60">
        <v>582364.0326072732</v>
      </c>
      <c r="O75" s="89">
        <v>31082156.945183024</v>
      </c>
      <c r="P75" s="60">
        <v>-5539713.5001818184</v>
      </c>
      <c r="Q75" s="83">
        <v>25542443.445001207</v>
      </c>
    </row>
    <row r="76" spans="1:17" hidden="1">
      <c r="A76" s="84">
        <v>8614</v>
      </c>
      <c r="B76" s="62" t="s">
        <v>180</v>
      </c>
      <c r="C76" s="84" t="s">
        <v>181</v>
      </c>
      <c r="D76" s="85">
        <v>0.1452</v>
      </c>
      <c r="E76" s="65">
        <v>1046400662</v>
      </c>
      <c r="F76" s="60">
        <v>-126836443.87878789</v>
      </c>
      <c r="G76" s="65">
        <v>1574566</v>
      </c>
      <c r="H76" s="65">
        <v>-63155819</v>
      </c>
      <c r="I76" s="60">
        <v>7655250.787878789</v>
      </c>
      <c r="J76" s="86">
        <v>-374725</v>
      </c>
      <c r="K76" s="87">
        <v>-851984095</v>
      </c>
      <c r="L76" s="87">
        <v>-4922223.42</v>
      </c>
      <c r="M76" s="88">
        <v>4409134</v>
      </c>
      <c r="N76" s="60">
        <v>-191585.11001454573</v>
      </c>
      <c r="O76" s="89">
        <v>12574721.379076332</v>
      </c>
      <c r="P76" s="60">
        <v>-5691121.314436364</v>
      </c>
      <c r="Q76" s="83">
        <v>6883600.0646399679</v>
      </c>
    </row>
    <row r="77" spans="1:17" hidden="1">
      <c r="A77" s="84">
        <v>8710</v>
      </c>
      <c r="B77" s="62" t="s">
        <v>182</v>
      </c>
      <c r="C77" s="84" t="s">
        <v>183</v>
      </c>
      <c r="D77" s="85">
        <v>0.1452</v>
      </c>
      <c r="E77" s="65">
        <v>490192329</v>
      </c>
      <c r="F77" s="60">
        <v>-59417252</v>
      </c>
      <c r="G77" s="65">
        <v>842526</v>
      </c>
      <c r="H77" s="65">
        <v>-33067789</v>
      </c>
      <c r="I77" s="60">
        <v>4008216.8484848486</v>
      </c>
      <c r="J77" s="86">
        <v>-168910</v>
      </c>
      <c r="K77" s="87">
        <v>-395309910</v>
      </c>
      <c r="L77" s="87">
        <v>-2288990.7800000003</v>
      </c>
      <c r="M77" s="88">
        <v>2081279</v>
      </c>
      <c r="N77" s="60">
        <v>5.8980993933510035</v>
      </c>
      <c r="O77" s="89">
        <v>6871504.9665842671</v>
      </c>
      <c r="P77" s="60">
        <v>-2874780.4464763636</v>
      </c>
      <c r="Q77" s="83">
        <v>3996724.5201079035</v>
      </c>
    </row>
    <row r="78" spans="1:17" hidden="1">
      <c r="A78" s="84">
        <v>8716</v>
      </c>
      <c r="B78" s="62" t="s">
        <v>184</v>
      </c>
      <c r="C78" s="84" t="s">
        <v>185</v>
      </c>
      <c r="D78" s="85">
        <v>0.1452</v>
      </c>
      <c r="E78" s="65">
        <v>1712013805</v>
      </c>
      <c r="F78" s="60">
        <v>-207516824.84848487</v>
      </c>
      <c r="G78" s="65">
        <v>1895528</v>
      </c>
      <c r="H78" s="65">
        <v>-76409082</v>
      </c>
      <c r="I78" s="60">
        <v>9261706.9090909101</v>
      </c>
      <c r="J78" s="86">
        <v>-796705</v>
      </c>
      <c r="K78" s="87">
        <v>-1385516659</v>
      </c>
      <c r="L78" s="87">
        <v>-8183517.7300000004</v>
      </c>
      <c r="M78" s="88">
        <v>7218403</v>
      </c>
      <c r="N78" s="60">
        <v>-457964.03538424242</v>
      </c>
      <c r="O78" s="89">
        <v>51508690.295221753</v>
      </c>
      <c r="P78" s="60">
        <v>-6766709.0223272741</v>
      </c>
      <c r="Q78" s="83">
        <v>44741981.272894479</v>
      </c>
    </row>
    <row r="79" spans="1:17" hidden="1">
      <c r="A79" s="84">
        <v>8717</v>
      </c>
      <c r="B79" s="62" t="s">
        <v>186</v>
      </c>
      <c r="C79" s="84" t="s">
        <v>187</v>
      </c>
      <c r="D79" s="85">
        <v>0.1452</v>
      </c>
      <c r="E79" s="65">
        <v>1394756517</v>
      </c>
      <c r="F79" s="60">
        <v>-169061396</v>
      </c>
      <c r="G79" s="65">
        <v>1294546</v>
      </c>
      <c r="H79" s="65">
        <v>-51048180</v>
      </c>
      <c r="I79" s="60">
        <v>6187658.1818181826</v>
      </c>
      <c r="J79" s="86">
        <v>-717421</v>
      </c>
      <c r="K79" s="87">
        <v>-1165883042</v>
      </c>
      <c r="L79" s="87">
        <v>-6721427.3100000005</v>
      </c>
      <c r="M79" s="88">
        <v>6065122</v>
      </c>
      <c r="N79" s="60">
        <v>156752.20723636355</v>
      </c>
      <c r="O79" s="89">
        <v>15029129.079054609</v>
      </c>
      <c r="P79" s="60">
        <v>-4062555.3252763641</v>
      </c>
      <c r="Q79" s="83">
        <v>10966573.753778245</v>
      </c>
    </row>
    <row r="80" spans="1:17" hidden="1">
      <c r="A80" s="84">
        <v>8719</v>
      </c>
      <c r="B80" s="62" t="s">
        <v>188</v>
      </c>
      <c r="C80" s="84" t="s">
        <v>189</v>
      </c>
      <c r="D80" s="85">
        <v>0.1244</v>
      </c>
      <c r="E80" s="65">
        <v>269561285</v>
      </c>
      <c r="F80" s="60">
        <v>-38137287.909967847</v>
      </c>
      <c r="G80" s="65">
        <v>432339</v>
      </c>
      <c r="H80" s="65">
        <v>-17100034</v>
      </c>
      <c r="I80" s="60">
        <v>2419297.4147909973</v>
      </c>
      <c r="J80" s="86">
        <v>-375118</v>
      </c>
      <c r="K80" s="87">
        <v>-209186374</v>
      </c>
      <c r="L80" s="87">
        <v>-1262592.3600000001</v>
      </c>
      <c r="M80" s="88">
        <v>1116463</v>
      </c>
      <c r="N80" s="60">
        <v>332124.58479228272</v>
      </c>
      <c r="O80" s="89">
        <v>7800102.7296154303</v>
      </c>
      <c r="P80" s="60">
        <v>-1528652.405963344</v>
      </c>
      <c r="Q80" s="83">
        <v>6271450.3236520868</v>
      </c>
    </row>
    <row r="81" spans="1:17" hidden="1">
      <c r="A81" s="84">
        <v>8720</v>
      </c>
      <c r="B81" s="62" t="s">
        <v>190</v>
      </c>
      <c r="C81" s="84" t="s">
        <v>191</v>
      </c>
      <c r="D81" s="85">
        <v>0.14480000000000001</v>
      </c>
      <c r="E81" s="65">
        <v>353850146</v>
      </c>
      <c r="F81" s="60">
        <v>-43009410.011049718</v>
      </c>
      <c r="G81" s="65">
        <v>792307</v>
      </c>
      <c r="H81" s="65">
        <v>-31581083</v>
      </c>
      <c r="I81" s="60">
        <v>3838584.6740331482</v>
      </c>
      <c r="J81" s="86">
        <v>-148059</v>
      </c>
      <c r="K81" s="87">
        <v>-279552346</v>
      </c>
      <c r="L81" s="87">
        <v>-1614566.5549999999</v>
      </c>
      <c r="M81" s="88">
        <v>1468915</v>
      </c>
      <c r="N81" s="60">
        <v>432017.21252872981</v>
      </c>
      <c r="O81" s="89">
        <v>4476505.3205121476</v>
      </c>
      <c r="P81" s="60">
        <v>-2684427.673331934</v>
      </c>
      <c r="Q81" s="83">
        <v>1792077.6471802136</v>
      </c>
    </row>
    <row r="82" spans="1:17" hidden="1">
      <c r="A82" s="84">
        <v>8721</v>
      </c>
      <c r="B82" s="62" t="s">
        <v>192</v>
      </c>
      <c r="C82" s="84" t="s">
        <v>193</v>
      </c>
      <c r="D82" s="85">
        <v>0.1452</v>
      </c>
      <c r="E82" s="65">
        <v>720558565</v>
      </c>
      <c r="F82" s="60">
        <v>-87340432.121212125</v>
      </c>
      <c r="G82" s="65">
        <v>1262714</v>
      </c>
      <c r="H82" s="65">
        <v>-50730413</v>
      </c>
      <c r="I82" s="60">
        <v>6149140.9696969697</v>
      </c>
      <c r="J82" s="86">
        <v>-254446</v>
      </c>
      <c r="K82" s="87">
        <v>-564635531</v>
      </c>
      <c r="L82" s="87">
        <v>-3354182.1</v>
      </c>
      <c r="M82" s="88">
        <v>2952160</v>
      </c>
      <c r="N82" s="60">
        <v>1167485.7847200003</v>
      </c>
      <c r="O82" s="89">
        <v>25775061.533204872</v>
      </c>
      <c r="P82" s="60">
        <v>-3804886.3167272722</v>
      </c>
      <c r="Q82" s="83">
        <v>21970175.216477599</v>
      </c>
    </row>
    <row r="83" spans="1:17" hidden="1">
      <c r="A83" s="84">
        <v>8722</v>
      </c>
      <c r="B83" s="62" t="s">
        <v>194</v>
      </c>
      <c r="C83" s="84" t="s">
        <v>195</v>
      </c>
      <c r="D83" s="85">
        <v>0.1452</v>
      </c>
      <c r="E83" s="65">
        <v>401408494</v>
      </c>
      <c r="F83" s="60">
        <v>-48655575.030303031</v>
      </c>
      <c r="G83" s="65">
        <v>844163</v>
      </c>
      <c r="H83" s="65">
        <v>-34219512</v>
      </c>
      <c r="I83" s="60">
        <v>4147819.6363636367</v>
      </c>
      <c r="J83" s="86">
        <v>-221047</v>
      </c>
      <c r="K83" s="87">
        <v>-320020071</v>
      </c>
      <c r="L83" s="87">
        <v>-1839060.49</v>
      </c>
      <c r="M83" s="88">
        <v>1667530</v>
      </c>
      <c r="N83" s="60">
        <v>110175.79453818197</v>
      </c>
      <c r="O83" s="89">
        <v>3222916.9105988061</v>
      </c>
      <c r="P83" s="60">
        <v>-2905406.3414618177</v>
      </c>
      <c r="Q83" s="83">
        <v>317510.56913698837</v>
      </c>
    </row>
    <row r="84" spans="1:17">
      <c r="A84" s="90"/>
      <c r="B84" s="91"/>
      <c r="C84" s="84"/>
      <c r="D84" s="84"/>
      <c r="E84" s="92"/>
      <c r="F84" s="93"/>
      <c r="G84" s="92"/>
      <c r="H84" s="92"/>
      <c r="I84" s="93"/>
      <c r="J84" s="92"/>
      <c r="K84" s="93"/>
      <c r="L84" s="93"/>
      <c r="M84" s="92"/>
      <c r="N84" s="93"/>
      <c r="O84" s="82"/>
      <c r="P84" s="93"/>
      <c r="Q84" s="94"/>
    </row>
    <row r="85" spans="1:17">
      <c r="A85" s="63"/>
      <c r="B85" s="95"/>
      <c r="C85" s="84"/>
      <c r="D85" s="84" t="s">
        <v>196</v>
      </c>
      <c r="E85" s="96">
        <v>244313837100</v>
      </c>
      <c r="F85" s="97">
        <v>-29772399500.542751</v>
      </c>
      <c r="G85" s="96">
        <v>189471456</v>
      </c>
      <c r="H85" s="96">
        <v>-7548452054</v>
      </c>
      <c r="I85" s="97">
        <v>918787066.57240677</v>
      </c>
      <c r="J85" s="96">
        <v>-151921279</v>
      </c>
      <c r="K85" s="97">
        <v>-204677578296</v>
      </c>
      <c r="L85" s="97">
        <v>-1184014676.1150002</v>
      </c>
      <c r="M85" s="96">
        <v>1069058775</v>
      </c>
      <c r="N85" s="98">
        <v>1992398.8731724739</v>
      </c>
      <c r="O85" s="89">
        <v>3158780990.7878351</v>
      </c>
      <c r="P85" s="97">
        <v>-584672437.07427645</v>
      </c>
      <c r="Q85" s="83">
        <v>2574108553.7135587</v>
      </c>
    </row>
    <row r="86" spans="1:17">
      <c r="A86" s="63"/>
      <c r="B86" s="95"/>
      <c r="C86" s="84"/>
      <c r="D86" s="84"/>
      <c r="E86" s="96"/>
      <c r="F86" s="97"/>
      <c r="G86" s="96"/>
      <c r="H86" s="96"/>
      <c r="I86" s="97"/>
      <c r="J86" s="96"/>
      <c r="K86" s="97"/>
      <c r="L86" s="97"/>
      <c r="M86" s="96"/>
      <c r="N86" s="97"/>
      <c r="O86" s="99"/>
      <c r="P86" s="97"/>
      <c r="Q86" s="83"/>
    </row>
    <row r="87" spans="1:17">
      <c r="A87" s="63"/>
      <c r="B87" s="95" t="s">
        <v>197</v>
      </c>
      <c r="C87" s="84" t="s">
        <v>198</v>
      </c>
      <c r="D87" s="100"/>
      <c r="E87" s="101">
        <v>0</v>
      </c>
      <c r="F87" s="102">
        <v>29772399500.542751</v>
      </c>
      <c r="G87" s="101">
        <v>0</v>
      </c>
      <c r="H87" s="101">
        <v>0</v>
      </c>
      <c r="I87" s="102">
        <v>-918787066.57240677</v>
      </c>
      <c r="J87" s="101">
        <v>0</v>
      </c>
      <c r="K87" s="102">
        <v>-28793238386</v>
      </c>
      <c r="L87" s="102">
        <v>0</v>
      </c>
      <c r="M87" s="101">
        <v>0</v>
      </c>
      <c r="N87" s="102">
        <v>-1992398.8731724739</v>
      </c>
      <c r="O87" s="103">
        <v>58381649.097172067</v>
      </c>
      <c r="P87" s="102">
        <v>584672437.07427645</v>
      </c>
      <c r="Q87" s="104">
        <v>643054086.17144847</v>
      </c>
    </row>
    <row r="88" spans="1:17">
      <c r="A88" s="58"/>
      <c r="B88" s="58"/>
      <c r="C88" s="58"/>
      <c r="D88" s="58"/>
      <c r="E88" s="61"/>
      <c r="F88" s="59"/>
      <c r="G88" s="61"/>
      <c r="H88" s="61"/>
      <c r="I88" s="59"/>
      <c r="J88" s="61"/>
      <c r="K88" s="59"/>
      <c r="L88" s="59"/>
      <c r="M88" s="61"/>
      <c r="N88" s="59"/>
      <c r="O88" s="105"/>
      <c r="P88" s="59"/>
      <c r="Q88" s="106"/>
    </row>
    <row r="89" spans="1:17" ht="15.75" thickBot="1">
      <c r="A89" s="63"/>
      <c r="B89" s="63"/>
      <c r="C89" s="107"/>
      <c r="D89" s="107" t="s">
        <v>196</v>
      </c>
      <c r="E89" s="108">
        <v>244313837100</v>
      </c>
      <c r="F89" s="109">
        <v>0</v>
      </c>
      <c r="G89" s="108">
        <v>189471456</v>
      </c>
      <c r="H89" s="108">
        <v>-7548452054</v>
      </c>
      <c r="I89" s="109">
        <v>0</v>
      </c>
      <c r="J89" s="108">
        <v>-151921279</v>
      </c>
      <c r="K89" s="109">
        <v>-233470816682</v>
      </c>
      <c r="L89" s="109">
        <v>-1184014676.1150002</v>
      </c>
      <c r="M89" s="108">
        <v>1069058775</v>
      </c>
      <c r="N89" s="109">
        <v>0</v>
      </c>
      <c r="O89" s="110">
        <v>3217162639.8850074</v>
      </c>
      <c r="P89" s="109">
        <v>0</v>
      </c>
      <c r="Q89" s="111">
        <v>3217162639.8850069</v>
      </c>
    </row>
    <row r="90" spans="1:17" ht="15.75" thickTop="1"/>
    <row r="99" spans="1:24" ht="15" customHeight="1">
      <c r="A99" s="38" t="s">
        <v>199</v>
      </c>
      <c r="B99" s="37"/>
      <c r="C99" s="116" t="s">
        <v>200</v>
      </c>
      <c r="D99" s="116"/>
      <c r="E99" s="116"/>
      <c r="F99" s="116"/>
      <c r="G99" s="36">
        <v>43741</v>
      </c>
      <c r="H99" s="114" t="s">
        <v>201</v>
      </c>
      <c r="I99" s="114"/>
      <c r="J99" s="114"/>
      <c r="K99" s="114"/>
      <c r="L99" s="114"/>
      <c r="M99" s="21"/>
      <c r="N99" s="21"/>
      <c r="S99" s="30"/>
      <c r="T99" s="30"/>
      <c r="U99" s="30"/>
      <c r="V99" s="30"/>
      <c r="W99" s="30"/>
      <c r="X99" s="30"/>
    </row>
    <row r="100" spans="1:24">
      <c r="A100" s="35"/>
      <c r="B100" s="30"/>
      <c r="C100" s="30"/>
      <c r="D100" s="30"/>
      <c r="E100" s="34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3" t="s">
        <v>202</v>
      </c>
      <c r="B101" s="23" t="s">
        <v>203</v>
      </c>
      <c r="C101" s="32">
        <v>2019</v>
      </c>
      <c r="D101" s="32">
        <v>2018</v>
      </c>
      <c r="E101" s="32">
        <v>2017</v>
      </c>
      <c r="F101" s="32">
        <v>2016</v>
      </c>
      <c r="G101" s="32">
        <v>2015</v>
      </c>
      <c r="H101" s="32">
        <v>2014</v>
      </c>
      <c r="I101" s="32">
        <v>2013</v>
      </c>
      <c r="J101" s="32">
        <v>2012</v>
      </c>
      <c r="K101" s="32">
        <v>2011</v>
      </c>
      <c r="L101" s="32">
        <v>2010</v>
      </c>
      <c r="M101" s="32">
        <v>2009</v>
      </c>
      <c r="N101" s="32">
        <v>2008</v>
      </c>
      <c r="O101" s="32">
        <v>2007</v>
      </c>
      <c r="P101" s="32">
        <v>2006</v>
      </c>
      <c r="Q101" s="32">
        <v>2005</v>
      </c>
      <c r="R101" s="32">
        <v>2004</v>
      </c>
      <c r="S101" s="32">
        <v>2003</v>
      </c>
      <c r="T101" s="32">
        <v>2002</v>
      </c>
      <c r="U101" s="32">
        <v>2001</v>
      </c>
      <c r="V101" s="32">
        <v>2000</v>
      </c>
      <c r="W101" s="32">
        <v>1999</v>
      </c>
      <c r="X101" s="32">
        <v>1998</v>
      </c>
    </row>
    <row r="102" spans="1:24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23" t="s">
        <v>204</v>
      </c>
      <c r="C103" s="22">
        <f t="shared" ref="C103:X103" si="0">C112+C118+C130+C141+C150+C165+D174+C191</f>
        <v>327256</v>
      </c>
      <c r="D103" s="22">
        <f t="shared" si="0"/>
        <v>319638</v>
      </c>
      <c r="E103" s="22">
        <f t="shared" si="0"/>
        <v>310821</v>
      </c>
      <c r="F103" s="22">
        <f t="shared" si="0"/>
        <v>305547</v>
      </c>
      <c r="G103" s="22">
        <f t="shared" si="0"/>
        <v>302584</v>
      </c>
      <c r="H103" s="22">
        <f t="shared" si="0"/>
        <v>299418</v>
      </c>
      <c r="I103" s="22">
        <f t="shared" si="0"/>
        <v>295858</v>
      </c>
      <c r="J103" s="22">
        <f t="shared" si="0"/>
        <v>293689</v>
      </c>
      <c r="K103" s="22">
        <f t="shared" si="0"/>
        <v>292531</v>
      </c>
      <c r="L103" s="22">
        <f t="shared" si="0"/>
        <v>291665</v>
      </c>
      <c r="M103" s="22">
        <f t="shared" si="0"/>
        <v>293106</v>
      </c>
      <c r="N103" s="22">
        <f t="shared" si="0"/>
        <v>289672</v>
      </c>
      <c r="O103" s="22">
        <f t="shared" si="0"/>
        <v>282524</v>
      </c>
      <c r="P103" s="22">
        <f t="shared" si="0"/>
        <v>275297</v>
      </c>
      <c r="Q103" s="22">
        <f t="shared" si="0"/>
        <v>269567</v>
      </c>
      <c r="R103" s="22">
        <f t="shared" si="0"/>
        <v>266711</v>
      </c>
      <c r="S103" s="22">
        <f t="shared" si="0"/>
        <v>264642</v>
      </c>
      <c r="T103" s="22">
        <f t="shared" si="0"/>
        <v>262918</v>
      </c>
      <c r="U103" s="22">
        <f t="shared" si="0"/>
        <v>259868</v>
      </c>
      <c r="V103" s="22">
        <f t="shared" si="0"/>
        <v>255799</v>
      </c>
      <c r="W103" s="22">
        <f t="shared" si="0"/>
        <v>252686</v>
      </c>
      <c r="X103" s="22">
        <f t="shared" si="0"/>
        <v>249416</v>
      </c>
    </row>
    <row r="104" spans="1:24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 hidden="1">
      <c r="A105" s="31">
        <v>0</v>
      </c>
      <c r="B105" s="26" t="s">
        <v>52</v>
      </c>
      <c r="C105" s="25">
        <v>128793</v>
      </c>
      <c r="D105" s="25">
        <v>126041</v>
      </c>
      <c r="E105" s="25">
        <v>123246</v>
      </c>
      <c r="F105" s="25">
        <v>122460</v>
      </c>
      <c r="G105" s="25">
        <v>121822</v>
      </c>
      <c r="H105" s="25">
        <v>121230</v>
      </c>
      <c r="I105" s="25">
        <v>119764</v>
      </c>
      <c r="J105" s="25">
        <v>118814</v>
      </c>
      <c r="K105" s="25">
        <v>118898</v>
      </c>
      <c r="L105" s="25">
        <v>118326</v>
      </c>
      <c r="M105" s="25">
        <v>119547</v>
      </c>
      <c r="N105" s="25">
        <v>118827</v>
      </c>
      <c r="O105" s="25">
        <v>116642</v>
      </c>
      <c r="P105" s="25">
        <v>114968</v>
      </c>
      <c r="Q105" s="25">
        <v>113848</v>
      </c>
      <c r="R105" s="25">
        <v>113288</v>
      </c>
      <c r="S105" s="25">
        <v>112554</v>
      </c>
      <c r="T105" s="25">
        <v>112411</v>
      </c>
      <c r="U105" s="25">
        <v>111544</v>
      </c>
      <c r="V105" s="25">
        <v>109887</v>
      </c>
      <c r="W105" s="25">
        <v>108484</v>
      </c>
      <c r="X105" s="25">
        <v>107341</v>
      </c>
    </row>
    <row r="106" spans="1:24" hidden="1">
      <c r="A106" s="24">
        <v>1000</v>
      </c>
      <c r="B106" s="29" t="s">
        <v>54</v>
      </c>
      <c r="C106" s="28">
        <v>36975</v>
      </c>
      <c r="D106" s="28">
        <v>35970</v>
      </c>
      <c r="E106" s="28">
        <v>35246</v>
      </c>
      <c r="F106" s="28">
        <v>34140</v>
      </c>
      <c r="G106" s="28">
        <v>33205</v>
      </c>
      <c r="H106" s="28">
        <v>32308</v>
      </c>
      <c r="I106" s="28">
        <v>31726</v>
      </c>
      <c r="J106" s="28">
        <v>31205</v>
      </c>
      <c r="K106" s="28">
        <v>30779</v>
      </c>
      <c r="L106" s="28">
        <v>30357</v>
      </c>
      <c r="M106" s="28">
        <v>29976</v>
      </c>
      <c r="N106" s="28">
        <v>28885</v>
      </c>
      <c r="O106" s="28">
        <v>27525</v>
      </c>
      <c r="P106" s="28">
        <v>26512</v>
      </c>
      <c r="Q106" s="28">
        <v>25803</v>
      </c>
      <c r="R106" s="28">
        <v>25352</v>
      </c>
      <c r="S106" s="28">
        <v>25016</v>
      </c>
      <c r="T106" s="28">
        <v>24291</v>
      </c>
      <c r="U106" s="28">
        <v>23647</v>
      </c>
      <c r="V106" s="28">
        <v>22693</v>
      </c>
      <c r="W106" s="28">
        <v>21508</v>
      </c>
      <c r="X106" s="28">
        <v>19867</v>
      </c>
    </row>
    <row r="107" spans="1:24" hidden="1">
      <c r="A107" s="27">
        <v>1100</v>
      </c>
      <c r="B107" s="26" t="s">
        <v>56</v>
      </c>
      <c r="C107" s="25">
        <v>4664</v>
      </c>
      <c r="D107" s="25">
        <v>4575</v>
      </c>
      <c r="E107" s="25">
        <v>4450</v>
      </c>
      <c r="F107" s="25">
        <v>4415</v>
      </c>
      <c r="G107" s="25">
        <v>4411</v>
      </c>
      <c r="H107" s="25">
        <v>4381</v>
      </c>
      <c r="I107" s="25">
        <v>4322</v>
      </c>
      <c r="J107" s="25">
        <v>4313</v>
      </c>
      <c r="K107" s="25">
        <v>4320</v>
      </c>
      <c r="L107" s="25">
        <v>4395</v>
      </c>
      <c r="M107" s="25">
        <v>4403</v>
      </c>
      <c r="N107" s="25">
        <v>4454</v>
      </c>
      <c r="O107" s="25">
        <v>4471</v>
      </c>
      <c r="P107" s="25">
        <v>4471</v>
      </c>
      <c r="Q107" s="25">
        <v>4548</v>
      </c>
      <c r="R107" s="25">
        <v>4577</v>
      </c>
      <c r="S107" s="25">
        <v>4608</v>
      </c>
      <c r="T107" s="25">
        <v>4659</v>
      </c>
      <c r="U107" s="25">
        <v>4673</v>
      </c>
      <c r="V107" s="25">
        <v>4665</v>
      </c>
      <c r="W107" s="25">
        <v>4698</v>
      </c>
      <c r="X107" s="25">
        <v>4602</v>
      </c>
    </row>
    <row r="108" spans="1:24" hidden="1">
      <c r="A108" s="24">
        <v>1300</v>
      </c>
      <c r="B108" s="29" t="s">
        <v>58</v>
      </c>
      <c r="C108" s="28">
        <v>16299</v>
      </c>
      <c r="D108" s="28">
        <v>15709</v>
      </c>
      <c r="E108" s="28">
        <v>15230</v>
      </c>
      <c r="F108" s="28">
        <v>14717</v>
      </c>
      <c r="G108" s="28">
        <v>14453</v>
      </c>
      <c r="H108" s="28">
        <v>14180</v>
      </c>
      <c r="I108" s="28">
        <v>13872</v>
      </c>
      <c r="J108" s="28">
        <v>13702</v>
      </c>
      <c r="K108" s="28">
        <v>13393</v>
      </c>
      <c r="L108" s="28">
        <v>13166</v>
      </c>
      <c r="M108" s="28">
        <v>12876</v>
      </c>
      <c r="N108" s="28">
        <v>12360</v>
      </c>
      <c r="O108" s="28">
        <v>11832</v>
      </c>
      <c r="P108" s="28">
        <v>11649</v>
      </c>
      <c r="Q108" s="28">
        <v>11085</v>
      </c>
      <c r="R108" s="28">
        <v>10764</v>
      </c>
      <c r="S108" s="28">
        <v>10475</v>
      </c>
      <c r="T108" s="28">
        <v>10213</v>
      </c>
      <c r="U108" s="28">
        <v>9611</v>
      </c>
      <c r="V108" s="28">
        <v>9378</v>
      </c>
      <c r="W108" s="28">
        <v>9316</v>
      </c>
      <c r="X108" s="28">
        <v>9216</v>
      </c>
    </row>
    <row r="109" spans="1:24" hidden="1">
      <c r="A109" s="31">
        <v>1400</v>
      </c>
      <c r="B109" s="26" t="s">
        <v>60</v>
      </c>
      <c r="C109" s="25">
        <v>29799</v>
      </c>
      <c r="D109" s="25">
        <v>29412</v>
      </c>
      <c r="E109" s="25">
        <v>28703</v>
      </c>
      <c r="F109" s="25">
        <v>28189</v>
      </c>
      <c r="G109" s="25">
        <v>27875</v>
      </c>
      <c r="H109" s="25">
        <v>27357</v>
      </c>
      <c r="I109" s="25">
        <v>26808</v>
      </c>
      <c r="J109" s="25">
        <v>26486</v>
      </c>
      <c r="K109" s="25">
        <v>26099</v>
      </c>
      <c r="L109" s="25">
        <v>25913</v>
      </c>
      <c r="M109" s="25">
        <v>25850</v>
      </c>
      <c r="N109" s="25">
        <v>25036</v>
      </c>
      <c r="O109" s="25">
        <v>23751</v>
      </c>
      <c r="P109" s="25">
        <v>22498</v>
      </c>
      <c r="Q109" s="25">
        <v>22000</v>
      </c>
      <c r="R109" s="25">
        <v>21207</v>
      </c>
      <c r="S109" s="25">
        <v>20720</v>
      </c>
      <c r="T109" s="25">
        <v>20264</v>
      </c>
      <c r="U109" s="25">
        <v>19688</v>
      </c>
      <c r="V109" s="25">
        <v>19158</v>
      </c>
      <c r="W109" s="25">
        <v>18656</v>
      </c>
      <c r="X109" s="25">
        <v>18196</v>
      </c>
    </row>
    <row r="110" spans="1:24" hidden="1">
      <c r="A110" s="24">
        <v>1604</v>
      </c>
      <c r="B110" s="29" t="s">
        <v>62</v>
      </c>
      <c r="C110" s="28">
        <v>11463</v>
      </c>
      <c r="D110" s="28">
        <v>10556</v>
      </c>
      <c r="E110" s="28">
        <v>9783</v>
      </c>
      <c r="F110" s="28">
        <v>9481</v>
      </c>
      <c r="G110" s="28">
        <v>9300</v>
      </c>
      <c r="H110" s="28">
        <v>9075</v>
      </c>
      <c r="I110" s="28">
        <v>8978</v>
      </c>
      <c r="J110" s="28">
        <v>8854</v>
      </c>
      <c r="K110" s="28">
        <v>8642</v>
      </c>
      <c r="L110" s="28">
        <v>8553</v>
      </c>
      <c r="M110" s="28">
        <v>8403</v>
      </c>
      <c r="N110" s="28">
        <v>8192</v>
      </c>
      <c r="O110" s="28">
        <v>7516</v>
      </c>
      <c r="P110" s="28">
        <v>7165</v>
      </c>
      <c r="Q110" s="28">
        <v>6817</v>
      </c>
      <c r="R110" s="28">
        <v>6589</v>
      </c>
      <c r="S110" s="28">
        <v>6473</v>
      </c>
      <c r="T110" s="28">
        <v>6323</v>
      </c>
      <c r="U110" s="28">
        <v>6113</v>
      </c>
      <c r="V110" s="28">
        <v>5869</v>
      </c>
      <c r="W110" s="28">
        <v>5540</v>
      </c>
      <c r="X110" s="28">
        <v>5246</v>
      </c>
    </row>
    <row r="111" spans="1:24" hidden="1">
      <c r="A111" s="27">
        <v>1606</v>
      </c>
      <c r="B111" s="26" t="s">
        <v>64</v>
      </c>
      <c r="C111" s="25">
        <v>238</v>
      </c>
      <c r="D111" s="25">
        <v>221</v>
      </c>
      <c r="E111" s="25">
        <v>220</v>
      </c>
      <c r="F111" s="25">
        <v>217</v>
      </c>
      <c r="G111" s="25">
        <v>216</v>
      </c>
      <c r="H111" s="25">
        <v>221</v>
      </c>
      <c r="I111" s="25">
        <v>205</v>
      </c>
      <c r="J111" s="25">
        <v>220</v>
      </c>
      <c r="K111" s="25">
        <v>210</v>
      </c>
      <c r="L111" s="25">
        <v>197</v>
      </c>
      <c r="M111" s="25">
        <v>196</v>
      </c>
      <c r="N111" s="25">
        <v>191</v>
      </c>
      <c r="O111" s="25">
        <v>182</v>
      </c>
      <c r="P111" s="25">
        <v>163</v>
      </c>
      <c r="Q111" s="25">
        <v>143</v>
      </c>
      <c r="R111" s="25">
        <v>140</v>
      </c>
      <c r="S111" s="25">
        <v>146</v>
      </c>
      <c r="T111" s="25">
        <v>140</v>
      </c>
      <c r="U111" s="25">
        <v>151</v>
      </c>
      <c r="V111" s="25">
        <v>142</v>
      </c>
      <c r="W111" s="25">
        <v>142</v>
      </c>
      <c r="X111" s="25">
        <v>138</v>
      </c>
    </row>
    <row r="112" spans="1:24" hidden="1">
      <c r="A112" s="24"/>
      <c r="B112" s="23" t="s">
        <v>205</v>
      </c>
      <c r="C112" s="22">
        <f t="shared" ref="C112:X112" si="1">SUM(C105:C111)</f>
        <v>228231</v>
      </c>
      <c r="D112" s="22">
        <f t="shared" si="1"/>
        <v>222484</v>
      </c>
      <c r="E112" s="22">
        <f t="shared" si="1"/>
        <v>216878</v>
      </c>
      <c r="F112" s="22">
        <f t="shared" si="1"/>
        <v>213619</v>
      </c>
      <c r="G112" s="22">
        <f t="shared" si="1"/>
        <v>211282</v>
      </c>
      <c r="H112" s="22">
        <f t="shared" si="1"/>
        <v>208752</v>
      </c>
      <c r="I112" s="22">
        <f t="shared" si="1"/>
        <v>205675</v>
      </c>
      <c r="J112" s="22">
        <f t="shared" si="1"/>
        <v>203594</v>
      </c>
      <c r="K112" s="22">
        <f t="shared" si="1"/>
        <v>202341</v>
      </c>
      <c r="L112" s="22">
        <f t="shared" si="1"/>
        <v>200907</v>
      </c>
      <c r="M112" s="22">
        <f t="shared" si="1"/>
        <v>201251</v>
      </c>
      <c r="N112" s="22">
        <f t="shared" si="1"/>
        <v>197945</v>
      </c>
      <c r="O112" s="22">
        <f t="shared" si="1"/>
        <v>191919</v>
      </c>
      <c r="P112" s="22">
        <f t="shared" si="1"/>
        <v>187426</v>
      </c>
      <c r="Q112" s="22">
        <f t="shared" si="1"/>
        <v>184244</v>
      </c>
      <c r="R112" s="22">
        <f t="shared" si="1"/>
        <v>181917</v>
      </c>
      <c r="S112" s="22">
        <f t="shared" si="1"/>
        <v>179992</v>
      </c>
      <c r="T112" s="22">
        <f t="shared" si="1"/>
        <v>178301</v>
      </c>
      <c r="U112" s="22">
        <f t="shared" si="1"/>
        <v>175427</v>
      </c>
      <c r="V112" s="22">
        <f t="shared" si="1"/>
        <v>171792</v>
      </c>
      <c r="W112" s="22">
        <f t="shared" si="1"/>
        <v>168344</v>
      </c>
      <c r="X112" s="22">
        <f t="shared" si="1"/>
        <v>164606</v>
      </c>
    </row>
    <row r="113" spans="1:24" hidden="1">
      <c r="A113" s="24"/>
      <c r="B113" s="29"/>
      <c r="C113" s="28"/>
      <c r="D113" s="28"/>
      <c r="E113" s="28"/>
      <c r="F113" s="28"/>
      <c r="G113" s="28"/>
      <c r="H113" s="30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</row>
    <row r="114" spans="1:24" hidden="1">
      <c r="A114" s="27">
        <v>2000</v>
      </c>
      <c r="B114" s="26" t="s">
        <v>66</v>
      </c>
      <c r="C114" s="25">
        <v>18920</v>
      </c>
      <c r="D114" s="25">
        <v>17805</v>
      </c>
      <c r="E114" s="25">
        <v>16350</v>
      </c>
      <c r="F114" s="25">
        <v>15233</v>
      </c>
      <c r="G114" s="25">
        <v>14924</v>
      </c>
      <c r="H114" s="25">
        <v>14527</v>
      </c>
      <c r="I114" s="25">
        <v>14231</v>
      </c>
      <c r="J114" s="25">
        <v>14137</v>
      </c>
      <c r="K114" s="25">
        <v>13971</v>
      </c>
      <c r="L114" s="25">
        <v>14091</v>
      </c>
      <c r="M114" s="25">
        <v>14172</v>
      </c>
      <c r="N114" s="25">
        <v>13440</v>
      </c>
      <c r="O114" s="25">
        <v>11952</v>
      </c>
      <c r="P114" s="25">
        <v>11367</v>
      </c>
      <c r="Q114" s="25">
        <v>10952</v>
      </c>
      <c r="R114" s="25">
        <v>10908</v>
      </c>
      <c r="S114" s="25">
        <v>10923</v>
      </c>
      <c r="T114" s="25">
        <v>10937</v>
      </c>
      <c r="U114" s="25">
        <v>10856</v>
      </c>
      <c r="V114" s="25">
        <v>10624</v>
      </c>
      <c r="W114" s="25">
        <v>10443</v>
      </c>
      <c r="X114" s="25">
        <v>10405</v>
      </c>
    </row>
    <row r="115" spans="1:24" hidden="1">
      <c r="A115" s="24">
        <v>2300</v>
      </c>
      <c r="B115" s="29" t="s">
        <v>206</v>
      </c>
      <c r="C115" s="28">
        <v>3427</v>
      </c>
      <c r="D115" s="28">
        <v>3323</v>
      </c>
      <c r="E115" s="28">
        <v>3218</v>
      </c>
      <c r="F115" s="28">
        <v>3126</v>
      </c>
      <c r="G115" s="28">
        <v>2995</v>
      </c>
      <c r="H115" s="28">
        <v>2888</v>
      </c>
      <c r="I115" s="28">
        <v>2860</v>
      </c>
      <c r="J115" s="28">
        <v>2830</v>
      </c>
      <c r="K115" s="28">
        <v>2821</v>
      </c>
      <c r="L115" s="28">
        <v>2837</v>
      </c>
      <c r="M115" s="28">
        <v>2850</v>
      </c>
      <c r="N115" s="28">
        <v>2779</v>
      </c>
      <c r="O115" s="28">
        <v>2701</v>
      </c>
      <c r="P115" s="28">
        <v>2614</v>
      </c>
      <c r="Q115" s="28">
        <v>2494</v>
      </c>
      <c r="R115" s="28">
        <v>2434</v>
      </c>
      <c r="S115" s="28">
        <v>2379</v>
      </c>
      <c r="T115" s="28">
        <v>2341</v>
      </c>
      <c r="U115" s="28">
        <v>2314</v>
      </c>
      <c r="V115" s="28">
        <v>2242</v>
      </c>
      <c r="W115" s="28">
        <v>2179</v>
      </c>
      <c r="X115" s="28">
        <v>2134</v>
      </c>
    </row>
    <row r="116" spans="1:24" hidden="1">
      <c r="A116" s="27">
        <v>2506</v>
      </c>
      <c r="B116" s="26" t="s">
        <v>70</v>
      </c>
      <c r="C116" s="25">
        <v>1286</v>
      </c>
      <c r="D116" s="25">
        <v>1268</v>
      </c>
      <c r="E116" s="25">
        <v>1206</v>
      </c>
      <c r="F116" s="25">
        <v>1148</v>
      </c>
      <c r="G116" s="25">
        <v>1102</v>
      </c>
      <c r="H116" s="25">
        <v>1127</v>
      </c>
      <c r="I116" s="25">
        <v>1105</v>
      </c>
      <c r="J116" s="25">
        <v>1126</v>
      </c>
      <c r="K116" s="25">
        <v>1161</v>
      </c>
      <c r="L116" s="25">
        <v>1206</v>
      </c>
      <c r="M116" s="25">
        <v>1218</v>
      </c>
      <c r="N116" s="25">
        <v>1231</v>
      </c>
      <c r="O116" s="25">
        <v>1112</v>
      </c>
      <c r="P116" s="25">
        <v>1019</v>
      </c>
      <c r="Q116" s="25">
        <v>937</v>
      </c>
      <c r="R116" s="25">
        <v>932</v>
      </c>
      <c r="S116" s="25">
        <v>866</v>
      </c>
      <c r="T116" s="25">
        <v>839</v>
      </c>
      <c r="U116" s="25">
        <v>784</v>
      </c>
      <c r="V116" s="25">
        <v>732</v>
      </c>
      <c r="W116" s="25">
        <v>715</v>
      </c>
      <c r="X116" s="25">
        <v>716</v>
      </c>
    </row>
    <row r="117" spans="1:24" hidden="1">
      <c r="A117" s="24">
        <v>2510</v>
      </c>
      <c r="B117" s="29" t="s">
        <v>207</v>
      </c>
      <c r="C117" s="28">
        <v>3480</v>
      </c>
      <c r="D117" s="28">
        <v>3374</v>
      </c>
      <c r="E117" s="28">
        <v>3219</v>
      </c>
      <c r="F117" s="28">
        <v>3002</v>
      </c>
      <c r="G117" s="28">
        <v>3005</v>
      </c>
      <c r="H117" s="28">
        <v>3018</v>
      </c>
      <c r="I117" s="28">
        <v>3010</v>
      </c>
      <c r="J117" s="28">
        <v>3149</v>
      </c>
      <c r="K117" s="28">
        <v>3135</v>
      </c>
      <c r="L117" s="28">
        <v>3225</v>
      </c>
      <c r="M117" s="28">
        <v>3304</v>
      </c>
      <c r="N117" s="28">
        <v>3209</v>
      </c>
      <c r="O117" s="28">
        <v>3147</v>
      </c>
      <c r="P117" s="28">
        <v>2915</v>
      </c>
      <c r="Q117" s="28">
        <v>2727</v>
      </c>
      <c r="R117" s="28">
        <v>2679</v>
      </c>
      <c r="S117" s="28">
        <v>2634</v>
      </c>
      <c r="T117" s="28">
        <v>2613</v>
      </c>
      <c r="U117" s="28">
        <v>2577</v>
      </c>
      <c r="V117" s="28">
        <v>2508</v>
      </c>
      <c r="W117" s="28">
        <v>2522</v>
      </c>
      <c r="X117" s="28">
        <v>2460</v>
      </c>
    </row>
    <row r="118" spans="1:24" hidden="1">
      <c r="A118" s="24"/>
      <c r="B118" s="23" t="s">
        <v>208</v>
      </c>
      <c r="C118" s="22">
        <f t="shared" ref="C118:X118" si="2">SUM(C114:C117)</f>
        <v>27113</v>
      </c>
      <c r="D118" s="22">
        <f t="shared" si="2"/>
        <v>25770</v>
      </c>
      <c r="E118" s="22">
        <f t="shared" si="2"/>
        <v>23993</v>
      </c>
      <c r="F118" s="22">
        <f t="shared" si="2"/>
        <v>22509</v>
      </c>
      <c r="G118" s="22">
        <f t="shared" si="2"/>
        <v>22026</v>
      </c>
      <c r="H118" s="22">
        <f t="shared" si="2"/>
        <v>21560</v>
      </c>
      <c r="I118" s="22">
        <f t="shared" si="2"/>
        <v>21206</v>
      </c>
      <c r="J118" s="22">
        <f t="shared" si="2"/>
        <v>21242</v>
      </c>
      <c r="K118" s="22">
        <f t="shared" si="2"/>
        <v>21088</v>
      </c>
      <c r="L118" s="22">
        <f t="shared" si="2"/>
        <v>21359</v>
      </c>
      <c r="M118" s="22">
        <f t="shared" si="2"/>
        <v>21544</v>
      </c>
      <c r="N118" s="22">
        <f t="shared" si="2"/>
        <v>20659</v>
      </c>
      <c r="O118" s="22">
        <f t="shared" si="2"/>
        <v>18912</v>
      </c>
      <c r="P118" s="22">
        <f t="shared" si="2"/>
        <v>17915</v>
      </c>
      <c r="Q118" s="22">
        <f t="shared" si="2"/>
        <v>17110</v>
      </c>
      <c r="R118" s="22">
        <f t="shared" si="2"/>
        <v>16953</v>
      </c>
      <c r="S118" s="22">
        <f t="shared" si="2"/>
        <v>16802</v>
      </c>
      <c r="T118" s="22">
        <f t="shared" si="2"/>
        <v>16730</v>
      </c>
      <c r="U118" s="22">
        <f t="shared" si="2"/>
        <v>16531</v>
      </c>
      <c r="V118" s="22">
        <f t="shared" si="2"/>
        <v>16106</v>
      </c>
      <c r="W118" s="22">
        <f t="shared" si="2"/>
        <v>15859</v>
      </c>
      <c r="X118" s="22">
        <f t="shared" si="2"/>
        <v>15715</v>
      </c>
    </row>
    <row r="119" spans="1:24" hidden="1">
      <c r="A119" s="24"/>
      <c r="B119" s="29"/>
      <c r="C119" s="28"/>
      <c r="D119" s="28"/>
      <c r="E119" s="28"/>
      <c r="F119" s="28"/>
      <c r="G119" s="28"/>
      <c r="H119" s="30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</row>
    <row r="120" spans="1:24" hidden="1">
      <c r="A120" s="31">
        <v>3000</v>
      </c>
      <c r="B120" s="26" t="s">
        <v>74</v>
      </c>
      <c r="C120" s="25">
        <v>7411</v>
      </c>
      <c r="D120" s="25">
        <v>7259</v>
      </c>
      <c r="E120" s="25">
        <v>7051</v>
      </c>
      <c r="F120" s="25">
        <v>6908</v>
      </c>
      <c r="G120" s="25">
        <v>6767</v>
      </c>
      <c r="H120" s="25">
        <v>6699</v>
      </c>
      <c r="I120" s="25">
        <v>6625</v>
      </c>
      <c r="J120" s="25">
        <v>6592</v>
      </c>
      <c r="K120" s="25">
        <v>6623</v>
      </c>
      <c r="L120" s="25">
        <v>6549</v>
      </c>
      <c r="M120" s="25">
        <v>6609</v>
      </c>
      <c r="N120" s="25">
        <v>6401</v>
      </c>
      <c r="O120" s="25">
        <v>5976</v>
      </c>
      <c r="P120" s="25">
        <v>5786</v>
      </c>
      <c r="Q120" s="25">
        <v>5657</v>
      </c>
      <c r="R120" s="25">
        <v>5588</v>
      </c>
      <c r="S120" s="25">
        <v>5595</v>
      </c>
      <c r="T120" s="25">
        <v>5510</v>
      </c>
      <c r="U120" s="25">
        <v>5450</v>
      </c>
      <c r="V120" s="25">
        <v>5340</v>
      </c>
      <c r="W120" s="25">
        <v>5186</v>
      </c>
      <c r="X120" s="25">
        <v>5125</v>
      </c>
    </row>
    <row r="121" spans="1:24" hidden="1">
      <c r="A121" s="24">
        <v>3506</v>
      </c>
      <c r="B121" s="29" t="s">
        <v>76</v>
      </c>
      <c r="C121" s="28">
        <v>58</v>
      </c>
      <c r="D121" s="28">
        <v>56</v>
      </c>
      <c r="E121" s="28">
        <v>58</v>
      </c>
      <c r="F121" s="28">
        <v>53</v>
      </c>
      <c r="G121" s="28">
        <v>62</v>
      </c>
      <c r="H121" s="28">
        <v>58</v>
      </c>
      <c r="I121" s="28">
        <v>57</v>
      </c>
      <c r="J121" s="28">
        <v>60</v>
      </c>
      <c r="K121" s="28">
        <v>57</v>
      </c>
      <c r="L121" s="28">
        <v>61</v>
      </c>
      <c r="M121" s="28">
        <v>57</v>
      </c>
      <c r="N121" s="28">
        <v>61</v>
      </c>
      <c r="O121" s="28">
        <v>56</v>
      </c>
      <c r="P121" s="28">
        <v>64</v>
      </c>
      <c r="Q121" s="28">
        <v>64</v>
      </c>
      <c r="R121" s="28">
        <v>55</v>
      </c>
      <c r="S121" s="28">
        <v>65</v>
      </c>
      <c r="T121" s="28">
        <v>57</v>
      </c>
      <c r="U121" s="28">
        <v>47</v>
      </c>
      <c r="V121" s="28">
        <v>45</v>
      </c>
      <c r="W121" s="28">
        <v>53</v>
      </c>
      <c r="X121" s="28">
        <v>52</v>
      </c>
    </row>
    <row r="122" spans="1:24" hidden="1">
      <c r="A122" s="27">
        <v>3511</v>
      </c>
      <c r="B122" s="26" t="s">
        <v>78</v>
      </c>
      <c r="C122" s="25">
        <v>638</v>
      </c>
      <c r="D122" s="25">
        <v>648</v>
      </c>
      <c r="E122" s="25">
        <v>636</v>
      </c>
      <c r="F122" s="25">
        <v>622</v>
      </c>
      <c r="G122" s="25">
        <v>635</v>
      </c>
      <c r="H122" s="25">
        <v>617</v>
      </c>
      <c r="I122" s="25">
        <v>610</v>
      </c>
      <c r="J122" s="25">
        <v>627</v>
      </c>
      <c r="K122" s="25">
        <v>617</v>
      </c>
      <c r="L122" s="25">
        <v>624</v>
      </c>
      <c r="M122" s="25">
        <v>641</v>
      </c>
      <c r="N122" s="25">
        <v>686</v>
      </c>
      <c r="O122" s="25">
        <v>608</v>
      </c>
      <c r="P122" s="25">
        <v>605</v>
      </c>
      <c r="Q122" s="25">
        <v>560</v>
      </c>
      <c r="R122" s="25">
        <v>562</v>
      </c>
      <c r="S122" s="25">
        <v>548</v>
      </c>
      <c r="T122" s="25">
        <v>557</v>
      </c>
      <c r="U122" s="25">
        <v>555</v>
      </c>
      <c r="V122" s="25">
        <v>547</v>
      </c>
      <c r="W122" s="25">
        <v>538</v>
      </c>
      <c r="X122" s="25">
        <v>545</v>
      </c>
    </row>
    <row r="123" spans="1:24" hidden="1">
      <c r="A123" s="24">
        <v>3609</v>
      </c>
      <c r="B123" s="29" t="s">
        <v>80</v>
      </c>
      <c r="C123" s="28">
        <v>3807</v>
      </c>
      <c r="D123" s="28">
        <v>3745</v>
      </c>
      <c r="E123" s="28">
        <v>3677</v>
      </c>
      <c r="F123" s="28">
        <v>3637</v>
      </c>
      <c r="G123" s="28">
        <v>3539</v>
      </c>
      <c r="H123" s="28">
        <v>3535</v>
      </c>
      <c r="I123" s="28">
        <v>3469</v>
      </c>
      <c r="J123" s="28">
        <v>3470</v>
      </c>
      <c r="K123" s="28">
        <v>3476</v>
      </c>
      <c r="L123" s="28">
        <v>3542</v>
      </c>
      <c r="M123" s="28">
        <v>3744</v>
      </c>
      <c r="N123" s="28">
        <v>3781</v>
      </c>
      <c r="O123" s="28">
        <v>3710</v>
      </c>
      <c r="P123" s="28">
        <v>3640</v>
      </c>
      <c r="Q123" s="28">
        <v>3446</v>
      </c>
      <c r="R123" s="28">
        <v>3471</v>
      </c>
      <c r="S123" s="28">
        <v>3413</v>
      </c>
      <c r="T123" s="28">
        <v>3411</v>
      </c>
      <c r="U123" s="28">
        <v>3353</v>
      </c>
      <c r="V123" s="28">
        <v>3296</v>
      </c>
      <c r="W123" s="28">
        <v>3297</v>
      </c>
      <c r="X123" s="28">
        <v>3259</v>
      </c>
    </row>
    <row r="124" spans="1:24" hidden="1">
      <c r="A124" s="31">
        <v>3709</v>
      </c>
      <c r="B124" s="26" t="s">
        <v>82</v>
      </c>
      <c r="C124" s="25">
        <v>866</v>
      </c>
      <c r="D124" s="25">
        <v>877</v>
      </c>
      <c r="E124" s="25">
        <v>869</v>
      </c>
      <c r="F124" s="25">
        <v>899</v>
      </c>
      <c r="G124" s="25">
        <v>900</v>
      </c>
      <c r="H124" s="25">
        <v>872</v>
      </c>
      <c r="I124" s="25">
        <v>905</v>
      </c>
      <c r="J124" s="25">
        <v>899</v>
      </c>
      <c r="K124" s="25">
        <v>903</v>
      </c>
      <c r="L124" s="25">
        <v>904</v>
      </c>
      <c r="M124" s="25">
        <v>925</v>
      </c>
      <c r="N124" s="25">
        <v>918</v>
      </c>
      <c r="O124" s="25">
        <v>949</v>
      </c>
      <c r="P124" s="25">
        <v>975</v>
      </c>
      <c r="Q124" s="25">
        <v>938</v>
      </c>
      <c r="R124" s="25">
        <v>934</v>
      </c>
      <c r="S124" s="25">
        <v>969</v>
      </c>
      <c r="T124" s="25">
        <v>965</v>
      </c>
      <c r="U124" s="25">
        <v>949</v>
      </c>
      <c r="V124" s="25">
        <v>952</v>
      </c>
      <c r="W124" s="25">
        <v>936</v>
      </c>
      <c r="X124" s="25">
        <v>922</v>
      </c>
    </row>
    <row r="125" spans="1:24" hidden="1">
      <c r="A125" s="24">
        <v>3710</v>
      </c>
      <c r="B125" s="29" t="s">
        <v>84</v>
      </c>
      <c r="C125" s="28">
        <v>62</v>
      </c>
      <c r="D125" s="28">
        <v>58</v>
      </c>
      <c r="E125" s="28">
        <v>52</v>
      </c>
      <c r="F125" s="28">
        <v>55</v>
      </c>
      <c r="G125" s="28">
        <v>53</v>
      </c>
      <c r="H125" s="28">
        <v>53</v>
      </c>
      <c r="I125" s="28">
        <v>58</v>
      </c>
      <c r="J125" s="28">
        <v>57</v>
      </c>
      <c r="K125" s="28">
        <v>61</v>
      </c>
      <c r="L125" s="28">
        <v>63</v>
      </c>
      <c r="M125" s="28">
        <v>60</v>
      </c>
      <c r="N125" s="28">
        <v>58</v>
      </c>
      <c r="O125" s="28">
        <v>58</v>
      </c>
      <c r="P125" s="28">
        <v>54</v>
      </c>
      <c r="Q125" s="28">
        <v>47</v>
      </c>
      <c r="R125" s="28">
        <v>52</v>
      </c>
      <c r="S125" s="28">
        <v>56</v>
      </c>
      <c r="T125" s="28">
        <v>58</v>
      </c>
      <c r="U125" s="28">
        <v>56</v>
      </c>
      <c r="V125" s="28">
        <v>56</v>
      </c>
      <c r="W125" s="28">
        <v>65</v>
      </c>
      <c r="X125" s="28">
        <v>65</v>
      </c>
    </row>
    <row r="126" spans="1:24" hidden="1">
      <c r="A126" s="27">
        <v>3711</v>
      </c>
      <c r="B126" s="26" t="s">
        <v>86</v>
      </c>
      <c r="C126" s="25">
        <v>1201</v>
      </c>
      <c r="D126" s="25">
        <v>1177</v>
      </c>
      <c r="E126" s="25">
        <v>1168</v>
      </c>
      <c r="F126" s="25">
        <v>1113</v>
      </c>
      <c r="G126" s="25">
        <v>1107</v>
      </c>
      <c r="H126" s="25">
        <v>1095</v>
      </c>
      <c r="I126" s="25">
        <v>1112</v>
      </c>
      <c r="J126" s="25">
        <v>1108</v>
      </c>
      <c r="K126" s="25">
        <v>1100</v>
      </c>
      <c r="L126" s="25">
        <v>1092</v>
      </c>
      <c r="M126" s="25">
        <v>1111</v>
      </c>
      <c r="N126" s="25">
        <v>1111</v>
      </c>
      <c r="O126" s="25">
        <v>1142</v>
      </c>
      <c r="P126" s="25">
        <v>1166</v>
      </c>
      <c r="Q126" s="25">
        <v>1141</v>
      </c>
      <c r="R126" s="25">
        <v>1162</v>
      </c>
      <c r="S126" s="25">
        <v>1221</v>
      </c>
      <c r="T126" s="25">
        <v>1241</v>
      </c>
      <c r="U126" s="25">
        <v>1228</v>
      </c>
      <c r="V126" s="25">
        <v>1217</v>
      </c>
      <c r="W126" s="25">
        <v>1230</v>
      </c>
      <c r="X126" s="25">
        <v>1258</v>
      </c>
    </row>
    <row r="127" spans="1:24" hidden="1">
      <c r="A127" s="24">
        <v>3713</v>
      </c>
      <c r="B127" s="29" t="s">
        <v>88</v>
      </c>
      <c r="C127" s="28">
        <v>117</v>
      </c>
      <c r="D127" s="28">
        <v>129</v>
      </c>
      <c r="E127" s="28">
        <v>120</v>
      </c>
      <c r="F127" s="28">
        <v>138</v>
      </c>
      <c r="G127" s="28">
        <v>144</v>
      </c>
      <c r="H127" s="28">
        <v>148</v>
      </c>
      <c r="I127" s="28">
        <v>158</v>
      </c>
      <c r="J127" s="28">
        <v>132</v>
      </c>
      <c r="K127" s="28">
        <v>135</v>
      </c>
      <c r="L127" s="28">
        <v>139</v>
      </c>
      <c r="M127" s="28">
        <v>129</v>
      </c>
      <c r="N127" s="28">
        <v>128</v>
      </c>
      <c r="O127" s="28">
        <v>140</v>
      </c>
      <c r="P127" s="28">
        <v>139</v>
      </c>
      <c r="Q127" s="28">
        <v>139</v>
      </c>
      <c r="R127" s="28">
        <v>129</v>
      </c>
      <c r="S127" s="28">
        <v>115</v>
      </c>
      <c r="T127" s="28">
        <v>117</v>
      </c>
      <c r="U127" s="28">
        <v>117</v>
      </c>
      <c r="V127" s="28">
        <v>115</v>
      </c>
      <c r="W127" s="28">
        <v>120</v>
      </c>
      <c r="X127" s="28">
        <v>122</v>
      </c>
    </row>
    <row r="128" spans="1:24" hidden="1">
      <c r="A128" s="31">
        <v>3714</v>
      </c>
      <c r="B128" s="26" t="s">
        <v>90</v>
      </c>
      <c r="C128" s="25">
        <v>1674</v>
      </c>
      <c r="D128" s="25">
        <v>1641</v>
      </c>
      <c r="E128" s="25">
        <v>1625</v>
      </c>
      <c r="F128" s="25">
        <v>1663</v>
      </c>
      <c r="G128" s="25">
        <v>1679</v>
      </c>
      <c r="H128" s="25">
        <v>1691</v>
      </c>
      <c r="I128" s="25">
        <v>1722</v>
      </c>
      <c r="J128" s="25">
        <v>1737</v>
      </c>
      <c r="K128" s="25">
        <v>1723</v>
      </c>
      <c r="L128" s="25">
        <v>1702</v>
      </c>
      <c r="M128" s="25">
        <v>1717</v>
      </c>
      <c r="N128" s="25">
        <v>1716</v>
      </c>
      <c r="O128" s="25">
        <v>1709</v>
      </c>
      <c r="P128" s="25">
        <v>1731</v>
      </c>
      <c r="Q128" s="25">
        <v>1719</v>
      </c>
      <c r="R128" s="25">
        <v>1747</v>
      </c>
      <c r="S128" s="25">
        <v>1778</v>
      </c>
      <c r="T128" s="25">
        <v>1804</v>
      </c>
      <c r="U128" s="25">
        <v>1734</v>
      </c>
      <c r="V128" s="25">
        <v>1719</v>
      </c>
      <c r="W128" s="25">
        <v>1728</v>
      </c>
      <c r="X128" s="25">
        <v>1743</v>
      </c>
    </row>
    <row r="129" spans="1:24" hidden="1">
      <c r="A129" s="24">
        <v>3811</v>
      </c>
      <c r="B129" s="29" t="s">
        <v>92</v>
      </c>
      <c r="C129" s="28">
        <v>673</v>
      </c>
      <c r="D129" s="28">
        <v>667</v>
      </c>
      <c r="E129" s="28">
        <v>673</v>
      </c>
      <c r="F129" s="28">
        <v>678</v>
      </c>
      <c r="G129" s="28">
        <v>680</v>
      </c>
      <c r="H129" s="28">
        <v>673</v>
      </c>
      <c r="I129" s="28">
        <v>665</v>
      </c>
      <c r="J129" s="28">
        <v>686</v>
      </c>
      <c r="K129" s="28">
        <v>684</v>
      </c>
      <c r="L129" s="28">
        <v>694</v>
      </c>
      <c r="M129" s="28">
        <v>714</v>
      </c>
      <c r="N129" s="28">
        <v>709</v>
      </c>
      <c r="O129" s="28">
        <v>681</v>
      </c>
      <c r="P129" s="28">
        <v>717</v>
      </c>
      <c r="Q129" s="28">
        <v>711</v>
      </c>
      <c r="R129" s="28">
        <v>738</v>
      </c>
      <c r="S129" s="28">
        <v>756</v>
      </c>
      <c r="T129" s="28">
        <v>749</v>
      </c>
      <c r="U129" s="28">
        <v>789</v>
      </c>
      <c r="V129" s="28">
        <v>775</v>
      </c>
      <c r="W129" s="28">
        <v>797</v>
      </c>
      <c r="X129" s="28">
        <v>833</v>
      </c>
    </row>
    <row r="130" spans="1:24" hidden="1">
      <c r="A130" s="24"/>
      <c r="B130" s="23" t="s">
        <v>209</v>
      </c>
      <c r="C130" s="22">
        <f t="shared" ref="C130:X130" si="3">SUM(C120:C129)</f>
        <v>16507</v>
      </c>
      <c r="D130" s="22">
        <f t="shared" si="3"/>
        <v>16257</v>
      </c>
      <c r="E130" s="22">
        <f t="shared" si="3"/>
        <v>15929</v>
      </c>
      <c r="F130" s="22">
        <f t="shared" si="3"/>
        <v>15766</v>
      </c>
      <c r="G130" s="22">
        <f t="shared" si="3"/>
        <v>15566</v>
      </c>
      <c r="H130" s="22">
        <f t="shared" si="3"/>
        <v>15441</v>
      </c>
      <c r="I130" s="22">
        <f t="shared" si="3"/>
        <v>15381</v>
      </c>
      <c r="J130" s="22">
        <f t="shared" si="3"/>
        <v>15368</v>
      </c>
      <c r="K130" s="22">
        <f t="shared" si="3"/>
        <v>15379</v>
      </c>
      <c r="L130" s="22">
        <f t="shared" si="3"/>
        <v>15370</v>
      </c>
      <c r="M130" s="22">
        <f t="shared" si="3"/>
        <v>15707</v>
      </c>
      <c r="N130" s="22">
        <f t="shared" si="3"/>
        <v>15569</v>
      </c>
      <c r="O130" s="22">
        <f t="shared" si="3"/>
        <v>15029</v>
      </c>
      <c r="P130" s="22">
        <f t="shared" si="3"/>
        <v>14877</v>
      </c>
      <c r="Q130" s="22">
        <f t="shared" si="3"/>
        <v>14422</v>
      </c>
      <c r="R130" s="22">
        <f t="shared" si="3"/>
        <v>14438</v>
      </c>
      <c r="S130" s="22">
        <f t="shared" si="3"/>
        <v>14516</v>
      </c>
      <c r="T130" s="22">
        <f t="shared" si="3"/>
        <v>14469</v>
      </c>
      <c r="U130" s="22">
        <f t="shared" si="3"/>
        <v>14278</v>
      </c>
      <c r="V130" s="22">
        <f t="shared" si="3"/>
        <v>14062</v>
      </c>
      <c r="W130" s="22">
        <f t="shared" si="3"/>
        <v>13950</v>
      </c>
      <c r="X130" s="22">
        <f t="shared" si="3"/>
        <v>13924</v>
      </c>
    </row>
    <row r="131" spans="1:24" hidden="1">
      <c r="A131" s="24"/>
      <c r="B131" s="29"/>
      <c r="C131" s="28"/>
      <c r="D131" s="28"/>
      <c r="E131" s="28"/>
      <c r="F131" s="28"/>
      <c r="G131" s="28"/>
      <c r="H131" s="30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</row>
    <row r="132" spans="1:24" hidden="1">
      <c r="A132" s="27">
        <v>4100</v>
      </c>
      <c r="B132" s="26" t="s">
        <v>94</v>
      </c>
      <c r="C132" s="25">
        <v>953</v>
      </c>
      <c r="D132" s="25">
        <v>945</v>
      </c>
      <c r="E132" s="25">
        <v>908</v>
      </c>
      <c r="F132" s="25">
        <v>904</v>
      </c>
      <c r="G132" s="25">
        <v>923</v>
      </c>
      <c r="H132" s="25">
        <v>950</v>
      </c>
      <c r="I132" s="25">
        <v>918</v>
      </c>
      <c r="J132" s="25">
        <v>889</v>
      </c>
      <c r="K132" s="25">
        <v>888</v>
      </c>
      <c r="L132" s="25">
        <v>970</v>
      </c>
      <c r="M132" s="25">
        <v>966</v>
      </c>
      <c r="N132" s="25">
        <v>908</v>
      </c>
      <c r="O132" s="25">
        <v>902</v>
      </c>
      <c r="P132" s="25">
        <v>920</v>
      </c>
      <c r="Q132" s="25">
        <v>930</v>
      </c>
      <c r="R132" s="25">
        <v>944</v>
      </c>
      <c r="S132" s="25">
        <v>951</v>
      </c>
      <c r="T132" s="25">
        <v>959</v>
      </c>
      <c r="U132" s="25">
        <v>997</v>
      </c>
      <c r="V132" s="25">
        <v>1001</v>
      </c>
      <c r="W132" s="25">
        <v>1018</v>
      </c>
      <c r="X132" s="25">
        <v>1093</v>
      </c>
    </row>
    <row r="133" spans="1:24" hidden="1">
      <c r="A133" s="24">
        <v>4200</v>
      </c>
      <c r="B133" s="29" t="s">
        <v>96</v>
      </c>
      <c r="C133" s="28">
        <v>3800</v>
      </c>
      <c r="D133" s="28">
        <v>3707</v>
      </c>
      <c r="E133" s="28">
        <v>3608</v>
      </c>
      <c r="F133" s="28">
        <v>3623</v>
      </c>
      <c r="G133" s="28">
        <v>3629</v>
      </c>
      <c r="H133" s="28">
        <v>3639</v>
      </c>
      <c r="I133" s="28">
        <v>3748</v>
      </c>
      <c r="J133" s="28">
        <v>3755</v>
      </c>
      <c r="K133" s="28">
        <v>3824</v>
      </c>
      <c r="L133" s="28">
        <v>3899</v>
      </c>
      <c r="M133" s="28">
        <v>3972</v>
      </c>
      <c r="N133" s="28">
        <v>3976</v>
      </c>
      <c r="O133" s="28">
        <v>4090</v>
      </c>
      <c r="P133" s="28">
        <v>4108</v>
      </c>
      <c r="Q133" s="28">
        <v>4134</v>
      </c>
      <c r="R133" s="28">
        <v>4139</v>
      </c>
      <c r="S133" s="28">
        <v>4141</v>
      </c>
      <c r="T133" s="28">
        <v>4184</v>
      </c>
      <c r="U133" s="28">
        <v>4224</v>
      </c>
      <c r="V133" s="28">
        <v>4280</v>
      </c>
      <c r="W133" s="28">
        <v>4482</v>
      </c>
      <c r="X133" s="28">
        <v>4423</v>
      </c>
    </row>
    <row r="134" spans="1:24" hidden="1">
      <c r="A134" s="31">
        <v>4502</v>
      </c>
      <c r="B134" s="26" t="s">
        <v>98</v>
      </c>
      <c r="C134" s="25">
        <v>258</v>
      </c>
      <c r="D134" s="25">
        <v>275</v>
      </c>
      <c r="E134" s="25">
        <v>282</v>
      </c>
      <c r="F134" s="25">
        <v>267</v>
      </c>
      <c r="G134" s="25">
        <v>268</v>
      </c>
      <c r="H134" s="25">
        <v>271</v>
      </c>
      <c r="I134" s="25">
        <v>280</v>
      </c>
      <c r="J134" s="25">
        <v>271</v>
      </c>
      <c r="K134" s="25">
        <v>278</v>
      </c>
      <c r="L134" s="25">
        <v>291</v>
      </c>
      <c r="M134" s="25">
        <v>280</v>
      </c>
      <c r="N134" s="25">
        <v>267</v>
      </c>
      <c r="O134" s="25">
        <v>255</v>
      </c>
      <c r="P134" s="25">
        <v>251</v>
      </c>
      <c r="Q134" s="25">
        <v>262</v>
      </c>
      <c r="R134" s="25">
        <v>279</v>
      </c>
      <c r="S134" s="25">
        <v>294</v>
      </c>
      <c r="T134" s="25">
        <v>300</v>
      </c>
      <c r="U134" s="25">
        <v>311</v>
      </c>
      <c r="V134" s="25">
        <v>299</v>
      </c>
      <c r="W134" s="25">
        <v>307</v>
      </c>
      <c r="X134" s="25">
        <v>335</v>
      </c>
    </row>
    <row r="135" spans="1:24" hidden="1">
      <c r="A135" s="24">
        <v>4604</v>
      </c>
      <c r="B135" s="29" t="s">
        <v>100</v>
      </c>
      <c r="C135" s="28">
        <v>258</v>
      </c>
      <c r="D135" s="28">
        <v>244</v>
      </c>
      <c r="E135" s="28">
        <v>236</v>
      </c>
      <c r="F135" s="28">
        <v>267</v>
      </c>
      <c r="G135" s="28">
        <v>305</v>
      </c>
      <c r="H135" s="28">
        <v>297</v>
      </c>
      <c r="I135" s="28">
        <v>293</v>
      </c>
      <c r="J135" s="28">
        <v>276</v>
      </c>
      <c r="K135" s="28">
        <v>306</v>
      </c>
      <c r="L135" s="28">
        <v>299</v>
      </c>
      <c r="M135" s="28">
        <v>308</v>
      </c>
      <c r="N135" s="28">
        <v>295</v>
      </c>
      <c r="O135" s="28">
        <v>293</v>
      </c>
      <c r="P135" s="28">
        <v>302</v>
      </c>
      <c r="Q135" s="28">
        <v>325</v>
      </c>
      <c r="R135" s="28">
        <v>346</v>
      </c>
      <c r="S135" s="28">
        <v>346</v>
      </c>
      <c r="T135" s="28">
        <v>373</v>
      </c>
      <c r="U135" s="28">
        <v>367</v>
      </c>
      <c r="V135" s="28">
        <v>367</v>
      </c>
      <c r="W135" s="28">
        <v>348</v>
      </c>
      <c r="X135" s="28">
        <v>327</v>
      </c>
    </row>
    <row r="136" spans="1:24" hidden="1">
      <c r="A136" s="27">
        <v>4607</v>
      </c>
      <c r="B136" s="26" t="s">
        <v>102</v>
      </c>
      <c r="C136" s="25">
        <v>998</v>
      </c>
      <c r="D136" s="25">
        <v>1024</v>
      </c>
      <c r="E136" s="25">
        <v>1030</v>
      </c>
      <c r="F136" s="25">
        <v>1013</v>
      </c>
      <c r="G136" s="25">
        <v>1002</v>
      </c>
      <c r="H136" s="25">
        <v>949</v>
      </c>
      <c r="I136" s="25">
        <v>941</v>
      </c>
      <c r="J136" s="25">
        <v>910</v>
      </c>
      <c r="K136" s="25">
        <v>890</v>
      </c>
      <c r="L136" s="25">
        <v>935</v>
      </c>
      <c r="M136" s="25">
        <v>900</v>
      </c>
      <c r="N136" s="25">
        <v>928</v>
      </c>
      <c r="O136" s="25">
        <v>939</v>
      </c>
      <c r="P136" s="25">
        <v>964</v>
      </c>
      <c r="Q136" s="25">
        <v>1019</v>
      </c>
      <c r="R136" s="25">
        <v>1073</v>
      </c>
      <c r="S136" s="25">
        <v>1122</v>
      </c>
      <c r="T136" s="25">
        <v>1141</v>
      </c>
      <c r="U136" s="25">
        <v>1162</v>
      </c>
      <c r="V136" s="25">
        <v>1229</v>
      </c>
      <c r="W136" s="25">
        <v>1254</v>
      </c>
      <c r="X136" s="25">
        <v>1254</v>
      </c>
    </row>
    <row r="137" spans="1:24" hidden="1">
      <c r="A137" s="24">
        <v>4803</v>
      </c>
      <c r="B137" s="29" t="s">
        <v>104</v>
      </c>
      <c r="C137" s="28">
        <v>204</v>
      </c>
      <c r="D137" s="28">
        <v>196</v>
      </c>
      <c r="E137" s="28">
        <v>186</v>
      </c>
      <c r="F137" s="28">
        <v>184</v>
      </c>
      <c r="G137" s="28">
        <v>204</v>
      </c>
      <c r="H137" s="28">
        <v>202</v>
      </c>
      <c r="I137" s="28">
        <v>179</v>
      </c>
      <c r="J137" s="28">
        <v>182</v>
      </c>
      <c r="K137" s="28">
        <v>192</v>
      </c>
      <c r="L137" s="28">
        <v>202</v>
      </c>
      <c r="M137" s="28">
        <v>212</v>
      </c>
      <c r="N137" s="28">
        <v>214</v>
      </c>
      <c r="O137" s="28">
        <v>225</v>
      </c>
      <c r="P137" s="28">
        <v>240</v>
      </c>
      <c r="Q137" s="28">
        <v>235</v>
      </c>
      <c r="R137" s="28">
        <v>228</v>
      </c>
      <c r="S137" s="28">
        <v>235</v>
      </c>
      <c r="T137" s="28">
        <v>222</v>
      </c>
      <c r="U137" s="28">
        <v>234</v>
      </c>
      <c r="V137" s="28">
        <v>255</v>
      </c>
      <c r="W137" s="28">
        <v>261</v>
      </c>
      <c r="X137" s="28">
        <v>271</v>
      </c>
    </row>
    <row r="138" spans="1:24" hidden="1">
      <c r="A138" s="31">
        <v>4901</v>
      </c>
      <c r="B138" s="26" t="s">
        <v>106</v>
      </c>
      <c r="C138" s="25">
        <v>40</v>
      </c>
      <c r="D138" s="25">
        <v>43</v>
      </c>
      <c r="E138" s="25">
        <v>46</v>
      </c>
      <c r="F138" s="25">
        <v>55</v>
      </c>
      <c r="G138" s="25">
        <v>54</v>
      </c>
      <c r="H138" s="25">
        <v>53</v>
      </c>
      <c r="I138" s="25">
        <v>54</v>
      </c>
      <c r="J138" s="25">
        <v>52</v>
      </c>
      <c r="K138" s="25">
        <v>52</v>
      </c>
      <c r="L138" s="25">
        <v>50</v>
      </c>
      <c r="M138" s="25">
        <v>49</v>
      </c>
      <c r="N138" s="25">
        <v>48</v>
      </c>
      <c r="O138" s="25">
        <v>49</v>
      </c>
      <c r="P138" s="25">
        <v>50</v>
      </c>
      <c r="Q138" s="25">
        <v>57</v>
      </c>
      <c r="R138" s="25">
        <v>56</v>
      </c>
      <c r="S138" s="25">
        <v>59</v>
      </c>
      <c r="T138" s="25">
        <v>59</v>
      </c>
      <c r="U138" s="25">
        <v>60</v>
      </c>
      <c r="V138" s="25">
        <v>67</v>
      </c>
      <c r="W138" s="25">
        <v>71</v>
      </c>
      <c r="X138" s="25">
        <v>72</v>
      </c>
    </row>
    <row r="139" spans="1:24" hidden="1">
      <c r="A139" s="24">
        <v>4902</v>
      </c>
      <c r="B139" s="29" t="s">
        <v>108</v>
      </c>
      <c r="C139" s="28">
        <v>103</v>
      </c>
      <c r="D139" s="28">
        <v>109</v>
      </c>
      <c r="E139" s="28">
        <v>106</v>
      </c>
      <c r="F139" s="28">
        <v>103</v>
      </c>
      <c r="G139" s="28">
        <v>112</v>
      </c>
      <c r="H139" s="28">
        <v>105</v>
      </c>
      <c r="I139" s="28">
        <v>100</v>
      </c>
      <c r="J139" s="28">
        <v>104</v>
      </c>
      <c r="K139" s="28">
        <v>106</v>
      </c>
      <c r="L139" s="28">
        <v>112</v>
      </c>
      <c r="M139" s="28">
        <v>110</v>
      </c>
      <c r="N139" s="28">
        <v>103</v>
      </c>
      <c r="O139" s="28">
        <v>101</v>
      </c>
      <c r="P139" s="28">
        <v>112</v>
      </c>
      <c r="Q139" s="28">
        <v>117</v>
      </c>
      <c r="R139" s="28">
        <v>127</v>
      </c>
      <c r="S139" s="28">
        <v>133</v>
      </c>
      <c r="T139" s="28">
        <v>134</v>
      </c>
      <c r="U139" s="28">
        <v>131</v>
      </c>
      <c r="V139" s="28">
        <v>144</v>
      </c>
      <c r="W139" s="28">
        <v>142</v>
      </c>
      <c r="X139" s="28">
        <v>142</v>
      </c>
    </row>
    <row r="140" spans="1:24" hidden="1">
      <c r="A140" s="27">
        <v>4911</v>
      </c>
      <c r="B140" s="26" t="s">
        <v>110</v>
      </c>
      <c r="C140" s="25">
        <v>449</v>
      </c>
      <c r="D140" s="25">
        <v>451</v>
      </c>
      <c r="E140" s="25">
        <v>468</v>
      </c>
      <c r="F140" s="25">
        <v>467</v>
      </c>
      <c r="G140" s="25">
        <v>473</v>
      </c>
      <c r="H140" s="25">
        <v>506</v>
      </c>
      <c r="I140" s="25">
        <v>518</v>
      </c>
      <c r="J140" s="25">
        <v>516</v>
      </c>
      <c r="K140" s="25">
        <v>501</v>
      </c>
      <c r="L140" s="25">
        <v>508</v>
      </c>
      <c r="M140" s="25">
        <v>490</v>
      </c>
      <c r="N140" s="25">
        <v>499</v>
      </c>
      <c r="O140" s="25">
        <v>507</v>
      </c>
      <c r="P140" s="25">
        <v>499</v>
      </c>
      <c r="Q140" s="25">
        <v>518</v>
      </c>
      <c r="R140" s="25">
        <v>544</v>
      </c>
      <c r="S140" s="25">
        <v>540</v>
      </c>
      <c r="T140" s="25">
        <v>541</v>
      </c>
      <c r="U140" s="25">
        <v>573</v>
      </c>
      <c r="V140" s="25">
        <v>577</v>
      </c>
      <c r="W140" s="25">
        <v>620</v>
      </c>
      <c r="X140" s="25">
        <v>639</v>
      </c>
    </row>
    <row r="141" spans="1:24" hidden="1">
      <c r="A141" s="24"/>
      <c r="B141" s="23" t="s">
        <v>210</v>
      </c>
      <c r="C141" s="22">
        <f t="shared" ref="C141:X141" si="4">SUM(C132:C140)</f>
        <v>7063</v>
      </c>
      <c r="D141" s="22">
        <f t="shared" si="4"/>
        <v>6994</v>
      </c>
      <c r="E141" s="22">
        <f t="shared" si="4"/>
        <v>6870</v>
      </c>
      <c r="F141" s="22">
        <f t="shared" si="4"/>
        <v>6883</v>
      </c>
      <c r="G141" s="22">
        <f t="shared" si="4"/>
        <v>6970</v>
      </c>
      <c r="H141" s="22">
        <f t="shared" si="4"/>
        <v>6972</v>
      </c>
      <c r="I141" s="22">
        <f t="shared" si="4"/>
        <v>7031</v>
      </c>
      <c r="J141" s="22">
        <f t="shared" si="4"/>
        <v>6955</v>
      </c>
      <c r="K141" s="22">
        <f t="shared" si="4"/>
        <v>7037</v>
      </c>
      <c r="L141" s="22">
        <f t="shared" si="4"/>
        <v>7266</v>
      </c>
      <c r="M141" s="22">
        <f t="shared" si="4"/>
        <v>7287</v>
      </c>
      <c r="N141" s="22">
        <f t="shared" si="4"/>
        <v>7238</v>
      </c>
      <c r="O141" s="22">
        <f t="shared" si="4"/>
        <v>7361</v>
      </c>
      <c r="P141" s="22">
        <f t="shared" si="4"/>
        <v>7446</v>
      </c>
      <c r="Q141" s="22">
        <f t="shared" si="4"/>
        <v>7597</v>
      </c>
      <c r="R141" s="22">
        <f t="shared" si="4"/>
        <v>7736</v>
      </c>
      <c r="S141" s="22">
        <f t="shared" si="4"/>
        <v>7821</v>
      </c>
      <c r="T141" s="22">
        <f t="shared" si="4"/>
        <v>7913</v>
      </c>
      <c r="U141" s="22">
        <f t="shared" si="4"/>
        <v>8059</v>
      </c>
      <c r="V141" s="22">
        <f t="shared" si="4"/>
        <v>8219</v>
      </c>
      <c r="W141" s="22">
        <f t="shared" si="4"/>
        <v>8503</v>
      </c>
      <c r="X141" s="22">
        <f t="shared" si="4"/>
        <v>8556</v>
      </c>
    </row>
    <row r="142" spans="1:24" hidden="1">
      <c r="A142" s="24"/>
      <c r="B142" s="29"/>
      <c r="C142" s="28"/>
      <c r="D142" s="28"/>
      <c r="E142" s="28"/>
      <c r="F142" s="28"/>
      <c r="G142" s="28"/>
      <c r="H142" s="30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</row>
    <row r="143" spans="1:24" hidden="1">
      <c r="A143" s="27">
        <v>5200</v>
      </c>
      <c r="B143" s="26" t="s">
        <v>112</v>
      </c>
      <c r="C143" s="25">
        <v>3992</v>
      </c>
      <c r="D143" s="25">
        <v>3955</v>
      </c>
      <c r="E143" s="25">
        <v>3932</v>
      </c>
      <c r="F143" s="25">
        <v>3902</v>
      </c>
      <c r="G143" s="25">
        <v>3910</v>
      </c>
      <c r="H143" s="25">
        <v>3978</v>
      </c>
      <c r="I143" s="25">
        <v>4010</v>
      </c>
      <c r="J143" s="25">
        <v>4024</v>
      </c>
      <c r="K143" s="25">
        <v>4110</v>
      </c>
      <c r="L143" s="25">
        <v>4131</v>
      </c>
      <c r="M143" s="25">
        <v>4078</v>
      </c>
      <c r="N143" s="25">
        <v>4038</v>
      </c>
      <c r="O143" s="25">
        <v>4083</v>
      </c>
      <c r="P143" s="25">
        <v>4106</v>
      </c>
      <c r="Q143" s="25">
        <v>4145</v>
      </c>
      <c r="R143" s="25">
        <v>4181</v>
      </c>
      <c r="S143" s="25">
        <v>4176</v>
      </c>
      <c r="T143" s="25">
        <v>4162</v>
      </c>
      <c r="U143" s="25">
        <v>4191</v>
      </c>
      <c r="V143" s="25">
        <v>4187</v>
      </c>
      <c r="W143" s="25">
        <v>4213</v>
      </c>
      <c r="X143" s="25">
        <v>4317</v>
      </c>
    </row>
    <row r="144" spans="1:24" hidden="1">
      <c r="A144" s="24">
        <v>5508</v>
      </c>
      <c r="B144" s="29" t="s">
        <v>114</v>
      </c>
      <c r="C144" s="28">
        <v>1181</v>
      </c>
      <c r="D144" s="28">
        <v>1193</v>
      </c>
      <c r="E144" s="28">
        <v>1174</v>
      </c>
      <c r="F144" s="28">
        <v>1160</v>
      </c>
      <c r="G144" s="28">
        <v>1171</v>
      </c>
      <c r="H144" s="28">
        <v>1173</v>
      </c>
      <c r="I144" s="28">
        <v>1177</v>
      </c>
      <c r="J144" s="28">
        <v>1187</v>
      </c>
      <c r="K144" s="28">
        <v>1222</v>
      </c>
      <c r="L144" s="28">
        <v>1212</v>
      </c>
      <c r="M144" s="28">
        <v>1245</v>
      </c>
      <c r="N144" s="28">
        <v>1253</v>
      </c>
      <c r="O144" s="28">
        <v>1267</v>
      </c>
      <c r="P144" s="28">
        <v>1279</v>
      </c>
      <c r="Q144" s="28">
        <v>1278</v>
      </c>
      <c r="R144" s="28">
        <v>1279</v>
      </c>
      <c r="S144" s="28">
        <v>1297</v>
      </c>
      <c r="T144" s="28">
        <v>1312</v>
      </c>
      <c r="U144" s="28">
        <v>1321</v>
      </c>
      <c r="V144" s="28">
        <v>1334</v>
      </c>
      <c r="W144" s="28">
        <v>1378</v>
      </c>
      <c r="X144" s="28">
        <v>1412</v>
      </c>
    </row>
    <row r="145" spans="1:24" hidden="1">
      <c r="A145" s="31">
        <v>5604</v>
      </c>
      <c r="B145" s="26" t="s">
        <v>211</v>
      </c>
      <c r="C145" s="25">
        <v>939</v>
      </c>
      <c r="D145" s="25">
        <v>895</v>
      </c>
      <c r="E145" s="25">
        <v>866</v>
      </c>
      <c r="F145" s="25">
        <v>865</v>
      </c>
      <c r="G145" s="25">
        <v>861</v>
      </c>
      <c r="H145" s="25">
        <v>881</v>
      </c>
      <c r="I145" s="25">
        <v>878</v>
      </c>
      <c r="J145" s="25">
        <v>871</v>
      </c>
      <c r="K145" s="25">
        <v>904</v>
      </c>
      <c r="L145" s="25">
        <v>882</v>
      </c>
      <c r="M145" s="25">
        <v>907</v>
      </c>
      <c r="N145" s="25">
        <v>904</v>
      </c>
      <c r="O145" s="25">
        <v>892</v>
      </c>
      <c r="P145" s="25">
        <v>903</v>
      </c>
      <c r="Q145" s="25">
        <v>917</v>
      </c>
      <c r="R145" s="25">
        <v>953</v>
      </c>
      <c r="S145" s="25">
        <v>933</v>
      </c>
      <c r="T145" s="25">
        <v>961</v>
      </c>
      <c r="U145" s="25">
        <v>993</v>
      </c>
      <c r="V145" s="25">
        <v>996</v>
      </c>
      <c r="W145" s="25">
        <v>1039</v>
      </c>
      <c r="X145" s="25">
        <v>1037</v>
      </c>
    </row>
    <row r="146" spans="1:24" hidden="1">
      <c r="A146" s="24">
        <v>5609</v>
      </c>
      <c r="B146" s="29" t="s">
        <v>118</v>
      </c>
      <c r="C146" s="28">
        <v>452</v>
      </c>
      <c r="D146" s="28">
        <v>482</v>
      </c>
      <c r="E146" s="28">
        <v>479</v>
      </c>
      <c r="F146" s="28">
        <v>489</v>
      </c>
      <c r="G146" s="28">
        <v>488</v>
      </c>
      <c r="H146" s="28">
        <v>498</v>
      </c>
      <c r="I146" s="28">
        <v>506</v>
      </c>
      <c r="J146" s="28">
        <v>504</v>
      </c>
      <c r="K146" s="28">
        <v>530</v>
      </c>
      <c r="L146" s="28">
        <v>519</v>
      </c>
      <c r="M146" s="28">
        <v>521</v>
      </c>
      <c r="N146" s="28">
        <v>530</v>
      </c>
      <c r="O146" s="28">
        <v>532</v>
      </c>
      <c r="P146" s="28">
        <v>545</v>
      </c>
      <c r="Q146" s="28">
        <v>558</v>
      </c>
      <c r="R146" s="28">
        <v>582</v>
      </c>
      <c r="S146" s="28">
        <v>600</v>
      </c>
      <c r="T146" s="28">
        <v>618</v>
      </c>
      <c r="U146" s="28">
        <v>612</v>
      </c>
      <c r="V146" s="28">
        <v>615</v>
      </c>
      <c r="W146" s="28">
        <v>601</v>
      </c>
      <c r="X146" s="28">
        <v>628</v>
      </c>
    </row>
    <row r="147" spans="1:24" hidden="1">
      <c r="A147" s="27">
        <v>5611</v>
      </c>
      <c r="B147" s="26" t="s">
        <v>120</v>
      </c>
      <c r="C147" s="25">
        <v>90</v>
      </c>
      <c r="D147" s="25">
        <v>93</v>
      </c>
      <c r="E147" s="25">
        <v>101</v>
      </c>
      <c r="F147" s="25">
        <v>109</v>
      </c>
      <c r="G147" s="25">
        <v>99</v>
      </c>
      <c r="H147" s="25">
        <v>98</v>
      </c>
      <c r="I147" s="25">
        <v>100</v>
      </c>
      <c r="J147" s="25">
        <v>104</v>
      </c>
      <c r="K147" s="25">
        <v>105</v>
      </c>
      <c r="L147" s="25">
        <v>106</v>
      </c>
      <c r="M147" s="25">
        <v>102</v>
      </c>
      <c r="N147" s="25">
        <v>105</v>
      </c>
      <c r="O147" s="25">
        <v>96</v>
      </c>
      <c r="P147" s="25">
        <v>99</v>
      </c>
      <c r="Q147" s="25">
        <v>101</v>
      </c>
      <c r="R147" s="25">
        <v>97</v>
      </c>
      <c r="S147" s="25">
        <v>99</v>
      </c>
      <c r="T147" s="25">
        <v>103</v>
      </c>
      <c r="U147" s="25">
        <v>105</v>
      </c>
      <c r="V147" s="25">
        <v>102</v>
      </c>
      <c r="W147" s="25">
        <v>98</v>
      </c>
      <c r="X147" s="25">
        <v>91</v>
      </c>
    </row>
    <row r="148" spans="1:24" hidden="1">
      <c r="A148" s="24">
        <v>5612</v>
      </c>
      <c r="B148" s="29" t="s">
        <v>122</v>
      </c>
      <c r="C148" s="28">
        <v>371</v>
      </c>
      <c r="D148" s="28">
        <v>383</v>
      </c>
      <c r="E148" s="28">
        <v>408</v>
      </c>
      <c r="F148" s="28">
        <v>403</v>
      </c>
      <c r="G148" s="28">
        <v>414</v>
      </c>
      <c r="H148" s="28">
        <v>409</v>
      </c>
      <c r="I148" s="28">
        <v>405</v>
      </c>
      <c r="J148" s="28">
        <v>412</v>
      </c>
      <c r="K148" s="28">
        <v>417</v>
      </c>
      <c r="L148" s="28">
        <v>431</v>
      </c>
      <c r="M148" s="28">
        <v>428</v>
      </c>
      <c r="N148" s="28">
        <v>449</v>
      </c>
      <c r="O148" s="28">
        <v>465</v>
      </c>
      <c r="P148" s="28">
        <v>466</v>
      </c>
      <c r="Q148" s="28">
        <v>486</v>
      </c>
      <c r="R148" s="28">
        <v>490</v>
      </c>
      <c r="S148" s="28">
        <v>520</v>
      </c>
      <c r="T148" s="28">
        <v>512</v>
      </c>
      <c r="U148" s="28">
        <v>508</v>
      </c>
      <c r="V148" s="28">
        <v>512</v>
      </c>
      <c r="W148" s="28">
        <v>536</v>
      </c>
      <c r="X148" s="28">
        <v>548</v>
      </c>
    </row>
    <row r="149" spans="1:24" hidden="1">
      <c r="A149" s="31">
        <v>5706</v>
      </c>
      <c r="B149" s="26" t="s">
        <v>124</v>
      </c>
      <c r="C149" s="25">
        <v>202</v>
      </c>
      <c r="D149" s="25">
        <v>194</v>
      </c>
      <c r="E149" s="25">
        <v>196</v>
      </c>
      <c r="F149" s="25">
        <v>200</v>
      </c>
      <c r="G149" s="25">
        <v>194</v>
      </c>
      <c r="H149" s="25">
        <v>208</v>
      </c>
      <c r="I149" s="25">
        <v>195</v>
      </c>
      <c r="J149" s="25">
        <v>197</v>
      </c>
      <c r="K149" s="25">
        <v>205</v>
      </c>
      <c r="L149" s="25">
        <v>209</v>
      </c>
      <c r="M149" s="25">
        <v>218</v>
      </c>
      <c r="N149" s="25">
        <v>203</v>
      </c>
      <c r="O149" s="25">
        <v>222</v>
      </c>
      <c r="P149" s="25">
        <v>225</v>
      </c>
      <c r="Q149" s="25">
        <v>214</v>
      </c>
      <c r="R149" s="25">
        <v>230</v>
      </c>
      <c r="S149" s="25">
        <v>234</v>
      </c>
      <c r="T149" s="25">
        <v>232</v>
      </c>
      <c r="U149" s="25">
        <v>230</v>
      </c>
      <c r="V149" s="25">
        <v>224</v>
      </c>
      <c r="W149" s="25">
        <v>221</v>
      </c>
      <c r="X149" s="25">
        <v>219</v>
      </c>
    </row>
    <row r="150" spans="1:24" hidden="1">
      <c r="A150" s="24"/>
      <c r="B150" s="23" t="s">
        <v>212</v>
      </c>
      <c r="C150" s="22">
        <f t="shared" ref="C150:X150" si="5">SUM(C143:C149)</f>
        <v>7227</v>
      </c>
      <c r="D150" s="22">
        <f t="shared" si="5"/>
        <v>7195</v>
      </c>
      <c r="E150" s="22">
        <f t="shared" si="5"/>
        <v>7156</v>
      </c>
      <c r="F150" s="22">
        <f t="shared" si="5"/>
        <v>7128</v>
      </c>
      <c r="G150" s="22">
        <f t="shared" si="5"/>
        <v>7137</v>
      </c>
      <c r="H150" s="22">
        <f t="shared" si="5"/>
        <v>7245</v>
      </c>
      <c r="I150" s="22">
        <f t="shared" si="5"/>
        <v>7271</v>
      </c>
      <c r="J150" s="22">
        <f t="shared" si="5"/>
        <v>7299</v>
      </c>
      <c r="K150" s="22">
        <f t="shared" si="5"/>
        <v>7493</v>
      </c>
      <c r="L150" s="22">
        <f t="shared" si="5"/>
        <v>7490</v>
      </c>
      <c r="M150" s="22">
        <f t="shared" si="5"/>
        <v>7499</v>
      </c>
      <c r="N150" s="22">
        <f t="shared" si="5"/>
        <v>7482</v>
      </c>
      <c r="O150" s="22">
        <f t="shared" si="5"/>
        <v>7557</v>
      </c>
      <c r="P150" s="22">
        <f t="shared" si="5"/>
        <v>7623</v>
      </c>
      <c r="Q150" s="22">
        <f t="shared" si="5"/>
        <v>7699</v>
      </c>
      <c r="R150" s="22">
        <f t="shared" si="5"/>
        <v>7812</v>
      </c>
      <c r="S150" s="22">
        <f t="shared" si="5"/>
        <v>7859</v>
      </c>
      <c r="T150" s="22">
        <f t="shared" si="5"/>
        <v>7900</v>
      </c>
      <c r="U150" s="22">
        <f t="shared" si="5"/>
        <v>7960</v>
      </c>
      <c r="V150" s="22">
        <f t="shared" si="5"/>
        <v>7970</v>
      </c>
      <c r="W150" s="22">
        <f t="shared" si="5"/>
        <v>8086</v>
      </c>
      <c r="X150" s="22">
        <f t="shared" si="5"/>
        <v>8252</v>
      </c>
    </row>
    <row r="151" spans="1:24" hidden="1">
      <c r="A151" s="24"/>
      <c r="B151" s="29"/>
      <c r="C151" s="28"/>
      <c r="D151" s="28"/>
      <c r="E151" s="28"/>
      <c r="F151" s="28"/>
      <c r="G151" s="28"/>
      <c r="H151" s="30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</row>
    <row r="152" spans="1:24" hidden="1">
      <c r="A152" s="27">
        <v>6000</v>
      </c>
      <c r="B152" s="26" t="s">
        <v>126</v>
      </c>
      <c r="C152" s="25">
        <v>18925</v>
      </c>
      <c r="D152" s="25">
        <v>18787</v>
      </c>
      <c r="E152" s="25">
        <v>18488</v>
      </c>
      <c r="F152" s="25">
        <v>18294</v>
      </c>
      <c r="G152" s="25">
        <v>18191</v>
      </c>
      <c r="H152" s="25">
        <v>18103</v>
      </c>
      <c r="I152" s="25">
        <v>17966</v>
      </c>
      <c r="J152" s="25">
        <v>17875</v>
      </c>
      <c r="K152" s="25">
        <v>17754</v>
      </c>
      <c r="L152" s="25">
        <v>17573</v>
      </c>
      <c r="M152" s="25">
        <v>17633</v>
      </c>
      <c r="N152" s="25">
        <v>17423</v>
      </c>
      <c r="O152" s="25">
        <v>16921</v>
      </c>
      <c r="P152" s="25">
        <v>16859</v>
      </c>
      <c r="Q152" s="25">
        <v>16568</v>
      </c>
      <c r="R152" s="25">
        <v>16359</v>
      </c>
      <c r="S152" s="25">
        <v>16142</v>
      </c>
      <c r="T152" s="25">
        <v>15947</v>
      </c>
      <c r="U152" s="25">
        <v>15692</v>
      </c>
      <c r="V152" s="25">
        <v>15456</v>
      </c>
      <c r="W152" s="25">
        <v>15442</v>
      </c>
      <c r="X152" s="25">
        <v>15428</v>
      </c>
    </row>
    <row r="153" spans="1:24" hidden="1">
      <c r="A153" s="24">
        <v>6100</v>
      </c>
      <c r="B153" s="29" t="s">
        <v>128</v>
      </c>
      <c r="C153" s="28">
        <v>3042</v>
      </c>
      <c r="D153" s="28">
        <v>3234</v>
      </c>
      <c r="E153" s="28">
        <v>2963</v>
      </c>
      <c r="F153" s="28">
        <v>2825</v>
      </c>
      <c r="G153" s="28">
        <v>2806</v>
      </c>
      <c r="H153" s="28">
        <v>2822</v>
      </c>
      <c r="I153" s="28">
        <v>2864</v>
      </c>
      <c r="J153" s="28">
        <v>2884</v>
      </c>
      <c r="K153" s="28">
        <v>2905</v>
      </c>
      <c r="L153" s="28">
        <v>2926</v>
      </c>
      <c r="M153" s="28">
        <v>3001</v>
      </c>
      <c r="N153" s="28">
        <v>2983</v>
      </c>
      <c r="O153" s="28">
        <v>3011</v>
      </c>
      <c r="P153" s="28">
        <v>3027</v>
      </c>
      <c r="Q153" s="28">
        <v>3094</v>
      </c>
      <c r="R153" s="28">
        <v>3155</v>
      </c>
      <c r="S153" s="28">
        <v>3219</v>
      </c>
      <c r="T153" s="28">
        <v>3254</v>
      </c>
      <c r="U153" s="28">
        <v>3333</v>
      </c>
      <c r="V153" s="28">
        <v>3390</v>
      </c>
      <c r="W153" s="28">
        <v>3454</v>
      </c>
      <c r="X153" s="28">
        <v>3471</v>
      </c>
    </row>
    <row r="154" spans="1:24" hidden="1">
      <c r="A154" s="31">
        <v>6250</v>
      </c>
      <c r="B154" s="26" t="s">
        <v>130</v>
      </c>
      <c r="C154" s="25">
        <v>2007</v>
      </c>
      <c r="D154" s="25">
        <v>2015</v>
      </c>
      <c r="E154" s="25">
        <v>2033</v>
      </c>
      <c r="F154" s="25">
        <v>2025</v>
      </c>
      <c r="G154" s="25">
        <v>2037</v>
      </c>
      <c r="H154" s="25">
        <v>2010</v>
      </c>
      <c r="I154" s="25">
        <v>2012</v>
      </c>
      <c r="J154" s="25">
        <v>2035</v>
      </c>
      <c r="K154" s="25">
        <v>2030</v>
      </c>
      <c r="L154" s="25">
        <v>2066</v>
      </c>
      <c r="M154" s="25">
        <v>2127</v>
      </c>
      <c r="N154" s="25">
        <v>2195</v>
      </c>
      <c r="O154" s="25">
        <v>2280</v>
      </c>
      <c r="P154" s="25">
        <v>2296</v>
      </c>
      <c r="Q154" s="25">
        <v>2371</v>
      </c>
      <c r="R154" s="25">
        <v>2428</v>
      </c>
      <c r="S154" s="25">
        <v>2495</v>
      </c>
      <c r="T154" s="25">
        <v>2542</v>
      </c>
      <c r="U154" s="25">
        <v>2594</v>
      </c>
      <c r="V154" s="25">
        <v>2633</v>
      </c>
      <c r="W154" s="25">
        <v>2690</v>
      </c>
      <c r="X154" s="25">
        <v>2731</v>
      </c>
    </row>
    <row r="155" spans="1:24" hidden="1">
      <c r="A155" s="24">
        <v>6400</v>
      </c>
      <c r="B155" s="29" t="s">
        <v>132</v>
      </c>
      <c r="C155" s="28">
        <v>1905</v>
      </c>
      <c r="D155" s="28">
        <v>1880</v>
      </c>
      <c r="E155" s="28">
        <v>1831</v>
      </c>
      <c r="F155" s="28">
        <v>1840</v>
      </c>
      <c r="G155" s="28">
        <v>1861</v>
      </c>
      <c r="H155" s="28">
        <v>1867</v>
      </c>
      <c r="I155" s="28">
        <v>1864</v>
      </c>
      <c r="J155" s="28">
        <v>1900</v>
      </c>
      <c r="K155" s="28">
        <v>1960</v>
      </c>
      <c r="L155" s="28">
        <v>1949</v>
      </c>
      <c r="M155" s="28">
        <v>1947</v>
      </c>
      <c r="N155" s="28">
        <v>1959</v>
      </c>
      <c r="O155" s="28">
        <v>1958</v>
      </c>
      <c r="P155" s="28">
        <v>1924</v>
      </c>
      <c r="Q155" s="28">
        <v>1944</v>
      </c>
      <c r="R155" s="28">
        <v>2021</v>
      </c>
      <c r="S155" s="28">
        <v>2035</v>
      </c>
      <c r="T155" s="28">
        <v>2012</v>
      </c>
      <c r="U155" s="28">
        <v>2034</v>
      </c>
      <c r="V155" s="28">
        <v>2050</v>
      </c>
      <c r="W155" s="28">
        <v>2061</v>
      </c>
      <c r="X155" s="28">
        <v>2082</v>
      </c>
    </row>
    <row r="156" spans="1:24" hidden="1">
      <c r="A156" s="27">
        <v>6513</v>
      </c>
      <c r="B156" s="26" t="s">
        <v>134</v>
      </c>
      <c r="C156" s="25">
        <v>1042</v>
      </c>
      <c r="D156" s="25">
        <v>1016</v>
      </c>
      <c r="E156" s="25">
        <v>1015</v>
      </c>
      <c r="F156" s="25">
        <v>1035</v>
      </c>
      <c r="G156" s="25">
        <v>1032</v>
      </c>
      <c r="H156" s="25">
        <v>1026</v>
      </c>
      <c r="I156" s="25">
        <v>1012</v>
      </c>
      <c r="J156" s="25">
        <v>1031</v>
      </c>
      <c r="K156" s="25">
        <v>1025</v>
      </c>
      <c r="L156" s="25">
        <v>1025</v>
      </c>
      <c r="M156" s="25">
        <v>1039</v>
      </c>
      <c r="N156" s="25">
        <v>1009</v>
      </c>
      <c r="O156" s="25">
        <v>1004</v>
      </c>
      <c r="P156" s="25">
        <v>981</v>
      </c>
      <c r="Q156" s="25">
        <v>993</v>
      </c>
      <c r="R156" s="25">
        <v>956</v>
      </c>
      <c r="S156" s="25">
        <v>975</v>
      </c>
      <c r="T156" s="25">
        <v>979</v>
      </c>
      <c r="U156" s="25">
        <v>982</v>
      </c>
      <c r="V156" s="25">
        <v>964</v>
      </c>
      <c r="W156" s="25">
        <v>952</v>
      </c>
      <c r="X156" s="25">
        <v>936</v>
      </c>
    </row>
    <row r="157" spans="1:24" hidden="1">
      <c r="A157" s="24">
        <v>6515</v>
      </c>
      <c r="B157" s="29" t="s">
        <v>136</v>
      </c>
      <c r="C157" s="28">
        <v>616</v>
      </c>
      <c r="D157" s="28">
        <v>580</v>
      </c>
      <c r="E157" s="28">
        <v>574</v>
      </c>
      <c r="F157" s="28">
        <v>557</v>
      </c>
      <c r="G157" s="28">
        <v>567</v>
      </c>
      <c r="H157" s="28">
        <v>559</v>
      </c>
      <c r="I157" s="28">
        <v>566</v>
      </c>
      <c r="J157" s="28">
        <v>584</v>
      </c>
      <c r="K157" s="28">
        <v>600</v>
      </c>
      <c r="L157" s="28">
        <v>607</v>
      </c>
      <c r="M157" s="28">
        <v>590</v>
      </c>
      <c r="N157" s="28">
        <v>589</v>
      </c>
      <c r="O157" s="28">
        <v>587</v>
      </c>
      <c r="P157" s="28">
        <v>571</v>
      </c>
      <c r="Q157" s="28">
        <v>572</v>
      </c>
      <c r="R157" s="28">
        <v>560</v>
      </c>
      <c r="S157" s="28">
        <v>559</v>
      </c>
      <c r="T157" s="28">
        <v>572</v>
      </c>
      <c r="U157" s="28">
        <v>584</v>
      </c>
      <c r="V157" s="28">
        <v>580</v>
      </c>
      <c r="W157" s="28">
        <v>582</v>
      </c>
      <c r="X157" s="28">
        <v>613</v>
      </c>
    </row>
    <row r="158" spans="1:24" hidden="1">
      <c r="A158" s="31">
        <v>6601</v>
      </c>
      <c r="B158" s="26" t="s">
        <v>138</v>
      </c>
      <c r="C158" s="25">
        <v>491</v>
      </c>
      <c r="D158" s="25">
        <v>483</v>
      </c>
      <c r="E158" s="25">
        <v>451</v>
      </c>
      <c r="F158" s="25">
        <v>438</v>
      </c>
      <c r="G158" s="25">
        <v>414</v>
      </c>
      <c r="H158" s="25">
        <v>387</v>
      </c>
      <c r="I158" s="25">
        <v>414</v>
      </c>
      <c r="J158" s="25">
        <v>390</v>
      </c>
      <c r="K158" s="25">
        <v>400</v>
      </c>
      <c r="L158" s="25">
        <v>413</v>
      </c>
      <c r="M158" s="25">
        <v>396</v>
      </c>
      <c r="N158" s="25">
        <v>390</v>
      </c>
      <c r="O158" s="25">
        <v>381</v>
      </c>
      <c r="P158" s="25">
        <v>383</v>
      </c>
      <c r="Q158" s="25">
        <v>366</v>
      </c>
      <c r="R158" s="25">
        <v>377</v>
      </c>
      <c r="S158" s="25">
        <v>374</v>
      </c>
      <c r="T158" s="25">
        <v>375</v>
      </c>
      <c r="U158" s="25">
        <v>354</v>
      </c>
      <c r="V158" s="25">
        <v>341</v>
      </c>
      <c r="W158" s="25">
        <v>325</v>
      </c>
      <c r="X158" s="25">
        <v>342</v>
      </c>
    </row>
    <row r="159" spans="1:24" hidden="1">
      <c r="A159" s="24">
        <v>6602</v>
      </c>
      <c r="B159" s="29" t="s">
        <v>140</v>
      </c>
      <c r="C159" s="28">
        <v>371</v>
      </c>
      <c r="D159" s="28">
        <v>372</v>
      </c>
      <c r="E159" s="28">
        <v>352</v>
      </c>
      <c r="F159" s="28">
        <v>357</v>
      </c>
      <c r="G159" s="28">
        <v>364</v>
      </c>
      <c r="H159" s="28">
        <v>353</v>
      </c>
      <c r="I159" s="28">
        <v>360</v>
      </c>
      <c r="J159" s="28">
        <v>350</v>
      </c>
      <c r="K159" s="28">
        <v>334</v>
      </c>
      <c r="L159" s="28">
        <v>337</v>
      </c>
      <c r="M159" s="28">
        <v>338</v>
      </c>
      <c r="N159" s="28">
        <v>354</v>
      </c>
      <c r="O159" s="28">
        <v>369</v>
      </c>
      <c r="P159" s="28">
        <v>367</v>
      </c>
      <c r="Q159" s="28">
        <v>387</v>
      </c>
      <c r="R159" s="28">
        <v>395</v>
      </c>
      <c r="S159" s="28">
        <v>390</v>
      </c>
      <c r="T159" s="28">
        <v>395</v>
      </c>
      <c r="U159" s="28">
        <v>380</v>
      </c>
      <c r="V159" s="28">
        <v>374</v>
      </c>
      <c r="W159" s="28">
        <v>378</v>
      </c>
      <c r="X159" s="28">
        <v>377</v>
      </c>
    </row>
    <row r="160" spans="1:24" hidden="1">
      <c r="A160" s="27">
        <v>6607</v>
      </c>
      <c r="B160" s="26" t="s">
        <v>142</v>
      </c>
      <c r="C160" s="25">
        <v>502</v>
      </c>
      <c r="D160" s="25">
        <v>493</v>
      </c>
      <c r="E160" s="25">
        <v>425</v>
      </c>
      <c r="F160" s="25">
        <v>408</v>
      </c>
      <c r="G160" s="25">
        <v>395</v>
      </c>
      <c r="H160" s="25">
        <v>371</v>
      </c>
      <c r="I160" s="25">
        <v>378</v>
      </c>
      <c r="J160" s="25">
        <v>385</v>
      </c>
      <c r="K160" s="25">
        <v>386</v>
      </c>
      <c r="L160" s="25">
        <v>374</v>
      </c>
      <c r="M160" s="25">
        <v>388</v>
      </c>
      <c r="N160" s="25">
        <v>402</v>
      </c>
      <c r="O160" s="25">
        <v>407</v>
      </c>
      <c r="P160" s="25">
        <v>429</v>
      </c>
      <c r="Q160" s="25">
        <v>437</v>
      </c>
      <c r="R160" s="25">
        <v>436</v>
      </c>
      <c r="S160" s="25">
        <v>453</v>
      </c>
      <c r="T160" s="25">
        <v>452</v>
      </c>
      <c r="U160" s="25">
        <v>445</v>
      </c>
      <c r="V160" s="25">
        <v>451</v>
      </c>
      <c r="W160" s="25">
        <v>450</v>
      </c>
      <c r="X160" s="25">
        <v>466</v>
      </c>
    </row>
    <row r="161" spans="1:25" hidden="1">
      <c r="A161" s="24">
        <v>6611</v>
      </c>
      <c r="B161" s="29" t="s">
        <v>144</v>
      </c>
      <c r="C161" s="28">
        <v>55</v>
      </c>
      <c r="D161" s="28">
        <v>58</v>
      </c>
      <c r="E161" s="28">
        <v>59</v>
      </c>
      <c r="F161" s="28">
        <v>60</v>
      </c>
      <c r="G161" s="28">
        <v>59</v>
      </c>
      <c r="H161" s="28">
        <v>55</v>
      </c>
      <c r="I161" s="28">
        <v>55</v>
      </c>
      <c r="J161" s="28">
        <v>55</v>
      </c>
      <c r="K161" s="28">
        <v>57</v>
      </c>
      <c r="L161" s="28">
        <v>56</v>
      </c>
      <c r="M161" s="28">
        <v>58</v>
      </c>
      <c r="N161" s="28">
        <v>60</v>
      </c>
      <c r="O161" s="28">
        <v>60</v>
      </c>
      <c r="P161" s="28">
        <v>63</v>
      </c>
      <c r="Q161" s="28">
        <v>64</v>
      </c>
      <c r="R161" s="28">
        <v>66</v>
      </c>
      <c r="S161" s="28">
        <v>66</v>
      </c>
      <c r="T161" s="28">
        <v>69</v>
      </c>
      <c r="U161" s="28">
        <v>74</v>
      </c>
      <c r="V161" s="28">
        <v>73</v>
      </c>
      <c r="W161" s="28">
        <v>81</v>
      </c>
      <c r="X161" s="28">
        <v>78</v>
      </c>
    </row>
    <row r="162" spans="1:25" hidden="1">
      <c r="A162" s="31">
        <v>6612</v>
      </c>
      <c r="B162" s="26" t="s">
        <v>146</v>
      </c>
      <c r="C162" s="25">
        <v>894</v>
      </c>
      <c r="D162" s="25">
        <v>962</v>
      </c>
      <c r="E162" s="25">
        <v>915</v>
      </c>
      <c r="F162" s="25">
        <v>918</v>
      </c>
      <c r="G162" s="25">
        <v>920</v>
      </c>
      <c r="H162" s="25">
        <v>917</v>
      </c>
      <c r="I162" s="25">
        <v>914</v>
      </c>
      <c r="J162" s="25">
        <v>915</v>
      </c>
      <c r="K162" s="25">
        <v>944</v>
      </c>
      <c r="L162" s="25">
        <v>942</v>
      </c>
      <c r="M162" s="25">
        <v>948</v>
      </c>
      <c r="N162" s="25">
        <v>942</v>
      </c>
      <c r="O162" s="25">
        <v>957</v>
      </c>
      <c r="P162" s="25">
        <v>943</v>
      </c>
      <c r="Q162" s="25">
        <v>962</v>
      </c>
      <c r="R162" s="25">
        <v>991</v>
      </c>
      <c r="S162" s="25">
        <v>997</v>
      </c>
      <c r="T162" s="25">
        <v>1011</v>
      </c>
      <c r="U162" s="25">
        <v>1031</v>
      </c>
      <c r="V162" s="25">
        <v>1048</v>
      </c>
      <c r="W162" s="25">
        <v>1077</v>
      </c>
      <c r="X162" s="25">
        <v>1132</v>
      </c>
    </row>
    <row r="163" spans="1:25" hidden="1">
      <c r="A163" s="24">
        <v>6706</v>
      </c>
      <c r="B163" s="29" t="s">
        <v>148</v>
      </c>
      <c r="C163" s="28">
        <v>91</v>
      </c>
      <c r="D163" s="28">
        <v>92</v>
      </c>
      <c r="E163" s="28">
        <v>95</v>
      </c>
      <c r="F163" s="28">
        <v>99</v>
      </c>
      <c r="G163" s="28">
        <v>98</v>
      </c>
      <c r="H163" s="28">
        <v>90</v>
      </c>
      <c r="I163" s="28">
        <v>98</v>
      </c>
      <c r="J163" s="28">
        <v>102</v>
      </c>
      <c r="K163" s="28">
        <v>106</v>
      </c>
      <c r="L163" s="28">
        <v>111</v>
      </c>
      <c r="M163" s="28">
        <v>108</v>
      </c>
      <c r="N163" s="28">
        <v>115</v>
      </c>
      <c r="O163" s="28">
        <v>106</v>
      </c>
      <c r="P163" s="28">
        <v>109</v>
      </c>
      <c r="Q163" s="28">
        <v>116</v>
      </c>
      <c r="R163" s="28">
        <v>125</v>
      </c>
      <c r="S163" s="28">
        <v>120</v>
      </c>
      <c r="T163" s="28">
        <v>120</v>
      </c>
      <c r="U163" s="28">
        <v>121</v>
      </c>
      <c r="V163" s="28">
        <v>121</v>
      </c>
      <c r="W163" s="28">
        <v>124</v>
      </c>
      <c r="X163" s="28">
        <v>121</v>
      </c>
    </row>
    <row r="164" spans="1:25" hidden="1">
      <c r="A164" s="27">
        <v>6709</v>
      </c>
      <c r="B164" s="26" t="s">
        <v>150</v>
      </c>
      <c r="C164" s="25">
        <v>504</v>
      </c>
      <c r="D164" s="25">
        <v>481</v>
      </c>
      <c r="E164" s="25">
        <v>484</v>
      </c>
      <c r="F164" s="25">
        <v>505</v>
      </c>
      <c r="G164" s="25">
        <v>513</v>
      </c>
      <c r="H164" s="25">
        <v>531</v>
      </c>
      <c r="I164" s="25">
        <v>523</v>
      </c>
      <c r="J164" s="25">
        <v>512</v>
      </c>
      <c r="K164" s="25">
        <v>505</v>
      </c>
      <c r="L164" s="25">
        <v>521</v>
      </c>
      <c r="M164" s="25">
        <v>508</v>
      </c>
      <c r="N164" s="25">
        <v>481</v>
      </c>
      <c r="O164" s="25">
        <v>520</v>
      </c>
      <c r="P164" s="25">
        <v>542</v>
      </c>
      <c r="Q164" s="25">
        <v>548</v>
      </c>
      <c r="R164" s="25">
        <v>533</v>
      </c>
      <c r="S164" s="25">
        <v>547</v>
      </c>
      <c r="T164" s="25">
        <v>552</v>
      </c>
      <c r="U164" s="25">
        <v>581</v>
      </c>
      <c r="V164" s="25">
        <v>601</v>
      </c>
      <c r="W164" s="25">
        <v>621</v>
      </c>
      <c r="X164" s="25">
        <v>640</v>
      </c>
    </row>
    <row r="165" spans="1:25" hidden="1">
      <c r="A165" s="24"/>
      <c r="B165" s="23" t="s">
        <v>213</v>
      </c>
      <c r="C165" s="22">
        <f t="shared" ref="C165:X165" si="6">SUM(C152:C164)</f>
        <v>30445</v>
      </c>
      <c r="D165" s="22">
        <f t="shared" si="6"/>
        <v>30453</v>
      </c>
      <c r="E165" s="22">
        <f t="shared" si="6"/>
        <v>29685</v>
      </c>
      <c r="F165" s="22">
        <f t="shared" si="6"/>
        <v>29361</v>
      </c>
      <c r="G165" s="22">
        <f t="shared" si="6"/>
        <v>29257</v>
      </c>
      <c r="H165" s="22">
        <f t="shared" si="6"/>
        <v>29091</v>
      </c>
      <c r="I165" s="22">
        <f t="shared" si="6"/>
        <v>29026</v>
      </c>
      <c r="J165" s="22">
        <f t="shared" si="6"/>
        <v>29018</v>
      </c>
      <c r="K165" s="22">
        <f t="shared" si="6"/>
        <v>29006</v>
      </c>
      <c r="L165" s="22">
        <f t="shared" si="6"/>
        <v>28900</v>
      </c>
      <c r="M165" s="22">
        <f t="shared" si="6"/>
        <v>29081</v>
      </c>
      <c r="N165" s="22">
        <f t="shared" si="6"/>
        <v>28902</v>
      </c>
      <c r="O165" s="22">
        <f t="shared" si="6"/>
        <v>28561</v>
      </c>
      <c r="P165" s="22">
        <f t="shared" si="6"/>
        <v>28494</v>
      </c>
      <c r="Q165" s="22">
        <f t="shared" si="6"/>
        <v>28422</v>
      </c>
      <c r="R165" s="22">
        <f t="shared" si="6"/>
        <v>28402</v>
      </c>
      <c r="S165" s="22">
        <f t="shared" si="6"/>
        <v>28372</v>
      </c>
      <c r="T165" s="22">
        <f t="shared" si="6"/>
        <v>28280</v>
      </c>
      <c r="U165" s="22">
        <f t="shared" si="6"/>
        <v>28205</v>
      </c>
      <c r="V165" s="22">
        <f t="shared" si="6"/>
        <v>28082</v>
      </c>
      <c r="W165" s="22">
        <f t="shared" si="6"/>
        <v>28237</v>
      </c>
      <c r="X165" s="22">
        <f t="shared" si="6"/>
        <v>28417</v>
      </c>
    </row>
    <row r="166" spans="1:25">
      <c r="A166" s="24"/>
      <c r="B166" s="29"/>
      <c r="C166" s="28"/>
      <c r="D166" s="28"/>
      <c r="E166" s="28"/>
      <c r="F166" s="28"/>
      <c r="G166" s="28"/>
      <c r="H166" s="30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</row>
    <row r="167" spans="1:25">
      <c r="A167" s="27">
        <v>7000</v>
      </c>
      <c r="B167" s="26" t="s">
        <v>152</v>
      </c>
      <c r="C167" s="25">
        <v>680</v>
      </c>
      <c r="D167" s="25">
        <v>685</v>
      </c>
      <c r="E167" s="25">
        <v>676</v>
      </c>
      <c r="F167" s="25">
        <v>650</v>
      </c>
      <c r="G167" s="25">
        <v>658</v>
      </c>
      <c r="H167" s="25">
        <v>653</v>
      </c>
      <c r="I167" s="25">
        <v>665</v>
      </c>
      <c r="J167" s="25">
        <v>676</v>
      </c>
      <c r="K167" s="25">
        <v>677</v>
      </c>
      <c r="L167" s="25">
        <v>668</v>
      </c>
      <c r="M167" s="25">
        <v>706</v>
      </c>
      <c r="N167" s="25">
        <v>717</v>
      </c>
      <c r="O167" s="25">
        <v>715</v>
      </c>
      <c r="P167" s="25">
        <v>726</v>
      </c>
      <c r="Q167" s="25">
        <v>736</v>
      </c>
      <c r="R167" s="25">
        <v>714</v>
      </c>
      <c r="S167" s="25">
        <v>730</v>
      </c>
      <c r="T167" s="25">
        <v>749</v>
      </c>
      <c r="U167" s="25">
        <v>775</v>
      </c>
      <c r="V167" s="25">
        <v>796</v>
      </c>
      <c r="W167" s="25">
        <v>828</v>
      </c>
      <c r="X167" s="25">
        <v>808</v>
      </c>
      <c r="Y167" s="25">
        <v>802</v>
      </c>
    </row>
    <row r="168" spans="1:25">
      <c r="A168" s="24">
        <v>7300</v>
      </c>
      <c r="B168" s="29" t="s">
        <v>154</v>
      </c>
      <c r="C168" s="28">
        <v>5072</v>
      </c>
      <c r="D168" s="28">
        <v>5070</v>
      </c>
      <c r="E168" s="28">
        <v>4962</v>
      </c>
      <c r="F168" s="28">
        <v>4873</v>
      </c>
      <c r="G168" s="28">
        <v>4876</v>
      </c>
      <c r="H168" s="28">
        <v>4933</v>
      </c>
      <c r="I168" s="28">
        <v>4862</v>
      </c>
      <c r="J168" s="28">
        <v>4809</v>
      </c>
      <c r="K168" s="28">
        <v>4790</v>
      </c>
      <c r="L168" s="28">
        <v>4782</v>
      </c>
      <c r="M168" s="28">
        <v>4851</v>
      </c>
      <c r="N168" s="28">
        <v>4920</v>
      </c>
      <c r="O168" s="28">
        <v>5368</v>
      </c>
      <c r="P168" s="28">
        <v>5959</v>
      </c>
      <c r="Q168" s="28">
        <v>5088</v>
      </c>
      <c r="R168" s="28">
        <v>4386</v>
      </c>
      <c r="S168" s="28">
        <v>4319</v>
      </c>
      <c r="T168" s="28">
        <v>4264</v>
      </c>
      <c r="U168" s="28">
        <v>4258</v>
      </c>
      <c r="V168" s="28">
        <v>4308</v>
      </c>
      <c r="W168" s="28">
        <v>4434</v>
      </c>
      <c r="X168" s="28">
        <v>4585</v>
      </c>
      <c r="Y168" s="28">
        <v>4671</v>
      </c>
    </row>
    <row r="169" spans="1:25">
      <c r="A169" s="27">
        <v>7502</v>
      </c>
      <c r="B169" s="26" t="s">
        <v>156</v>
      </c>
      <c r="C169" s="25">
        <v>659</v>
      </c>
      <c r="D169" s="25">
        <v>660</v>
      </c>
      <c r="E169" s="25">
        <v>655</v>
      </c>
      <c r="F169" s="25">
        <v>645</v>
      </c>
      <c r="G169" s="25">
        <v>650</v>
      </c>
      <c r="H169" s="25">
        <v>674</v>
      </c>
      <c r="I169" s="25">
        <v>695</v>
      </c>
      <c r="J169" s="25">
        <v>687</v>
      </c>
      <c r="K169" s="25">
        <v>670</v>
      </c>
      <c r="L169" s="25">
        <v>668</v>
      </c>
      <c r="M169" s="25">
        <v>683</v>
      </c>
      <c r="N169" s="25">
        <v>674</v>
      </c>
      <c r="O169" s="25">
        <v>699</v>
      </c>
      <c r="P169" s="25">
        <v>712</v>
      </c>
      <c r="Q169" s="25">
        <v>726</v>
      </c>
      <c r="R169" s="25">
        <v>728</v>
      </c>
      <c r="S169" s="25">
        <v>735</v>
      </c>
      <c r="T169" s="25">
        <v>757</v>
      </c>
      <c r="U169" s="25">
        <v>743</v>
      </c>
      <c r="V169" s="25">
        <v>752</v>
      </c>
      <c r="W169" s="25">
        <v>789</v>
      </c>
      <c r="X169" s="25">
        <v>820</v>
      </c>
      <c r="Y169" s="25">
        <v>852</v>
      </c>
    </row>
    <row r="170" spans="1:25">
      <c r="A170" s="24">
        <v>7505</v>
      </c>
      <c r="B170" s="29" t="s">
        <v>158</v>
      </c>
      <c r="C170" s="28">
        <v>86</v>
      </c>
      <c r="D170" s="28">
        <v>74</v>
      </c>
      <c r="E170" s="28">
        <v>76</v>
      </c>
      <c r="F170" s="28">
        <v>81</v>
      </c>
      <c r="G170" s="28">
        <v>74</v>
      </c>
      <c r="H170" s="28">
        <v>75</v>
      </c>
      <c r="I170" s="28">
        <v>68</v>
      </c>
      <c r="J170" s="28">
        <v>80</v>
      </c>
      <c r="K170" s="28">
        <v>78</v>
      </c>
      <c r="L170" s="28">
        <v>80</v>
      </c>
      <c r="M170" s="28">
        <v>89</v>
      </c>
      <c r="N170" s="28">
        <v>135</v>
      </c>
      <c r="O170" s="28">
        <v>394</v>
      </c>
      <c r="P170" s="28">
        <v>526</v>
      </c>
      <c r="Q170" s="28">
        <v>376</v>
      </c>
      <c r="R170" s="28">
        <v>260</v>
      </c>
      <c r="S170" s="28">
        <v>100</v>
      </c>
      <c r="T170" s="28">
        <v>84</v>
      </c>
      <c r="U170" s="28">
        <v>82</v>
      </c>
      <c r="V170" s="28">
        <v>86</v>
      </c>
      <c r="W170" s="28">
        <v>90</v>
      </c>
      <c r="X170" s="28">
        <v>96</v>
      </c>
      <c r="Y170" s="28">
        <v>100</v>
      </c>
    </row>
    <row r="171" spans="1:25">
      <c r="A171" s="27">
        <v>7509</v>
      </c>
      <c r="B171" s="26" t="s">
        <v>160</v>
      </c>
      <c r="C171" s="25">
        <v>122</v>
      </c>
      <c r="D171" s="25">
        <v>109</v>
      </c>
      <c r="E171" s="25">
        <v>108</v>
      </c>
      <c r="F171" s="25">
        <v>116</v>
      </c>
      <c r="G171" s="25">
        <v>124</v>
      </c>
      <c r="H171" s="25">
        <v>135</v>
      </c>
      <c r="I171" s="25">
        <v>134</v>
      </c>
      <c r="J171" s="25">
        <v>130</v>
      </c>
      <c r="K171" s="25">
        <v>129</v>
      </c>
      <c r="L171" s="25">
        <v>141</v>
      </c>
      <c r="M171" s="25">
        <v>134</v>
      </c>
      <c r="N171" s="25">
        <v>142</v>
      </c>
      <c r="O171" s="25">
        <v>146</v>
      </c>
      <c r="P171" s="25">
        <v>148</v>
      </c>
      <c r="Q171" s="25">
        <v>146</v>
      </c>
      <c r="R171" s="25">
        <v>137</v>
      </c>
      <c r="S171" s="25">
        <v>140</v>
      </c>
      <c r="T171" s="25">
        <v>139</v>
      </c>
      <c r="U171" s="25">
        <v>150</v>
      </c>
      <c r="V171" s="25">
        <v>146</v>
      </c>
      <c r="W171" s="25">
        <v>142</v>
      </c>
      <c r="X171" s="25">
        <v>152</v>
      </c>
      <c r="Y171" s="25">
        <v>152</v>
      </c>
    </row>
    <row r="172" spans="1:25">
      <c r="A172" s="24">
        <v>7617</v>
      </c>
      <c r="B172" s="29" t="s">
        <v>162</v>
      </c>
      <c r="C172" s="28">
        <v>501</v>
      </c>
      <c r="D172" s="28">
        <v>472</v>
      </c>
      <c r="E172" s="28">
        <v>461</v>
      </c>
      <c r="F172" s="28">
        <v>452</v>
      </c>
      <c r="G172" s="28">
        <v>456</v>
      </c>
      <c r="H172" s="28">
        <v>422</v>
      </c>
      <c r="I172" s="28">
        <v>470</v>
      </c>
      <c r="J172" s="28">
        <v>452</v>
      </c>
      <c r="K172" s="28">
        <v>461</v>
      </c>
      <c r="L172" s="28">
        <v>447</v>
      </c>
      <c r="M172" s="28">
        <v>443</v>
      </c>
      <c r="N172" s="28">
        <v>454</v>
      </c>
      <c r="O172" s="28">
        <v>455</v>
      </c>
      <c r="P172" s="28">
        <v>461</v>
      </c>
      <c r="Q172" s="28">
        <v>454</v>
      </c>
      <c r="R172" s="28">
        <v>480</v>
      </c>
      <c r="S172" s="28">
        <v>490</v>
      </c>
      <c r="T172" s="28">
        <v>495</v>
      </c>
      <c r="U172" s="28">
        <v>522</v>
      </c>
      <c r="V172" s="28">
        <v>521</v>
      </c>
      <c r="W172" s="28">
        <v>504</v>
      </c>
      <c r="X172" s="28">
        <v>494</v>
      </c>
      <c r="Y172" s="28">
        <v>540</v>
      </c>
    </row>
    <row r="173" spans="1:25">
      <c r="A173" s="27">
        <v>7620</v>
      </c>
      <c r="B173" s="26" t="s">
        <v>164</v>
      </c>
      <c r="C173" s="25">
        <v>3619</v>
      </c>
      <c r="D173" s="25">
        <v>3600</v>
      </c>
      <c r="E173" s="25">
        <v>3547</v>
      </c>
      <c r="F173" s="25">
        <v>3493</v>
      </c>
      <c r="G173" s="25">
        <v>3443</v>
      </c>
      <c r="H173" s="25">
        <v>3454</v>
      </c>
      <c r="I173" s="25">
        <v>3463</v>
      </c>
      <c r="J173" s="25">
        <v>3434</v>
      </c>
      <c r="K173" s="25">
        <v>3408</v>
      </c>
      <c r="L173" s="25">
        <v>3401</v>
      </c>
      <c r="M173" s="25">
        <v>3467</v>
      </c>
      <c r="N173" s="25">
        <v>3695</v>
      </c>
      <c r="O173" s="25">
        <v>4100</v>
      </c>
      <c r="P173" s="25">
        <v>4653</v>
      </c>
      <c r="Q173" s="25">
        <v>3990</v>
      </c>
      <c r="R173" s="25">
        <v>3368</v>
      </c>
      <c r="S173" s="25">
        <v>2939</v>
      </c>
      <c r="T173" s="25">
        <v>2792</v>
      </c>
      <c r="U173" s="25">
        <v>2795</v>
      </c>
      <c r="V173" s="25">
        <v>2799</v>
      </c>
      <c r="W173" s="25">
        <v>2781</v>
      </c>
      <c r="X173" s="25">
        <v>2752</v>
      </c>
      <c r="Y173" s="25">
        <v>2829</v>
      </c>
    </row>
    <row r="174" spans="1:25">
      <c r="A174" s="24"/>
      <c r="B174" s="23" t="s">
        <v>214</v>
      </c>
      <c r="C174" s="22">
        <v>10739</v>
      </c>
      <c r="D174" s="22">
        <f t="shared" ref="D174:Y174" si="7">SUM(D167:D173)</f>
        <v>10670</v>
      </c>
      <c r="E174" s="22">
        <f t="shared" si="7"/>
        <v>10485</v>
      </c>
      <c r="F174" s="22">
        <f t="shared" si="7"/>
        <v>10310</v>
      </c>
      <c r="G174" s="22">
        <f t="shared" si="7"/>
        <v>10281</v>
      </c>
      <c r="H174" s="22">
        <f t="shared" si="7"/>
        <v>10346</v>
      </c>
      <c r="I174" s="22">
        <f t="shared" si="7"/>
        <v>10357</v>
      </c>
      <c r="J174" s="22">
        <f t="shared" si="7"/>
        <v>10268</v>
      </c>
      <c r="K174" s="22">
        <f t="shared" si="7"/>
        <v>10213</v>
      </c>
      <c r="L174" s="22">
        <f t="shared" si="7"/>
        <v>10187</v>
      </c>
      <c r="M174" s="22">
        <f t="shared" si="7"/>
        <v>10373</v>
      </c>
      <c r="N174" s="22">
        <f t="shared" si="7"/>
        <v>10737</v>
      </c>
      <c r="O174" s="22">
        <f t="shared" si="7"/>
        <v>11877</v>
      </c>
      <c r="P174" s="22">
        <f t="shared" si="7"/>
        <v>13185</v>
      </c>
      <c r="Q174" s="22">
        <f t="shared" si="7"/>
        <v>11516</v>
      </c>
      <c r="R174" s="22">
        <f t="shared" si="7"/>
        <v>10073</v>
      </c>
      <c r="S174" s="22">
        <f t="shared" si="7"/>
        <v>9453</v>
      </c>
      <c r="T174" s="22">
        <f t="shared" si="7"/>
        <v>9280</v>
      </c>
      <c r="U174" s="22">
        <f t="shared" si="7"/>
        <v>9325</v>
      </c>
      <c r="V174" s="22">
        <f t="shared" si="7"/>
        <v>9408</v>
      </c>
      <c r="W174" s="22">
        <f t="shared" si="7"/>
        <v>9568</v>
      </c>
      <c r="X174" s="22">
        <f t="shared" si="7"/>
        <v>9707</v>
      </c>
      <c r="Y174" s="22">
        <f t="shared" si="7"/>
        <v>9946</v>
      </c>
    </row>
  </sheetData>
  <mergeCells count="4">
    <mergeCell ref="F4:L4"/>
    <mergeCell ref="A1:L1"/>
    <mergeCell ref="C99:F99"/>
    <mergeCell ref="H99:L99"/>
  </mergeCells>
  <hyperlinks>
    <hyperlink ref="F4" r:id="rId1" xr:uid="{E39822F2-C460-434F-8CA9-B25D095F8EB0}"/>
    <hyperlink ref="H99" r:id="rId2" xr:uid="{6314B7B1-B6B0-4CF0-A19A-0952F66C4623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3"/>
  <headerFooter>
    <oddHeader>&amp;L&amp;A&amp;C&amp;G&amp;R&amp;P af &amp;N</oddHeader>
    <oddFooter>&amp;C&amp;"-,Bold"https://www.sjalfbaerni.is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Q79"/>
  <sheetViews>
    <sheetView topLeftCell="A4" zoomScaleNormal="100" workbookViewId="0">
      <selection activeCell="M46" sqref="M46"/>
    </sheetView>
  </sheetViews>
  <sheetFormatPr defaultColWidth="9.28515625" defaultRowHeight="15"/>
  <cols>
    <col min="1" max="1" width="10.28515625" style="1" customWidth="1"/>
    <col min="2" max="2" width="22.85546875" style="1" bestFit="1" customWidth="1"/>
    <col min="3" max="3" width="16.7109375" style="1" bestFit="1" customWidth="1"/>
    <col min="4" max="4" width="17.5703125" style="1" bestFit="1" customWidth="1"/>
    <col min="5" max="5" width="14.85546875" style="1" customWidth="1"/>
    <col min="6" max="6" width="15.140625" style="1" bestFit="1" customWidth="1"/>
    <col min="7" max="7" width="12.85546875" style="1" customWidth="1"/>
    <col min="8" max="8" width="17.42578125" style="1" bestFit="1" customWidth="1"/>
    <col min="9" max="9" width="13.140625" style="1" customWidth="1"/>
    <col min="10" max="10" width="11.28515625" style="1" bestFit="1" customWidth="1"/>
    <col min="11" max="11" width="17.5703125" style="1" customWidth="1"/>
    <col min="12" max="12" width="13.7109375" style="1" customWidth="1"/>
    <col min="13" max="13" width="14.28515625" style="1" customWidth="1"/>
    <col min="14" max="14" width="14.140625" style="1" bestFit="1" customWidth="1"/>
    <col min="15" max="15" width="15.7109375" style="1" bestFit="1" customWidth="1"/>
    <col min="16" max="16" width="11.140625" style="1" bestFit="1" customWidth="1"/>
    <col min="17" max="16384" width="9.28515625" style="1"/>
  </cols>
  <sheetData>
    <row r="1" spans="1:17" s="4" customFormat="1" ht="21">
      <c r="A1" s="115" t="str">
        <f>Frumgögn!A1</f>
        <v>3.2.1 - Útsvarstekjur</v>
      </c>
      <c r="B1" s="115"/>
      <c r="C1" s="115"/>
      <c r="D1" s="115"/>
      <c r="E1" s="115"/>
      <c r="F1" s="115"/>
      <c r="G1" s="115"/>
      <c r="H1" s="115"/>
      <c r="I1" s="115"/>
      <c r="J1" s="115"/>
      <c r="K1" s="6" t="str">
        <f>Frumgögn!A1</f>
        <v>3.2.1 - Útsvarstekjur</v>
      </c>
      <c r="L1" s="6"/>
      <c r="M1" s="6"/>
      <c r="N1" s="6"/>
      <c r="P1" s="6"/>
      <c r="Q1" s="6"/>
    </row>
    <row r="2" spans="1:17" ht="15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</row>
    <row r="3" spans="1:17" ht="15.75" thickBot="1">
      <c r="A3" s="47"/>
      <c r="B3" s="117" t="s">
        <v>215</v>
      </c>
      <c r="C3" s="118"/>
      <c r="D3" s="119"/>
      <c r="E3" s="117" t="s">
        <v>158</v>
      </c>
      <c r="F3" s="118"/>
      <c r="G3" s="118"/>
      <c r="H3" s="118" t="s">
        <v>162</v>
      </c>
      <c r="I3" s="118"/>
      <c r="J3" s="119"/>
      <c r="K3" s="117" t="s">
        <v>154</v>
      </c>
      <c r="L3" s="118"/>
      <c r="M3" s="119"/>
      <c r="N3" s="117" t="s">
        <v>164</v>
      </c>
      <c r="O3" s="118"/>
      <c r="P3" s="119"/>
    </row>
    <row r="4" spans="1:17" ht="15" customHeight="1">
      <c r="A4" s="39" t="s">
        <v>216</v>
      </c>
      <c r="B4" s="40" t="s">
        <v>217</v>
      </c>
      <c r="C4" s="40" t="s">
        <v>218</v>
      </c>
      <c r="D4" s="40" t="s">
        <v>219</v>
      </c>
      <c r="E4" s="40" t="s">
        <v>220</v>
      </c>
      <c r="F4" s="40" t="s">
        <v>221</v>
      </c>
      <c r="G4" s="40" t="s">
        <v>222</v>
      </c>
      <c r="H4" s="40" t="s">
        <v>223</v>
      </c>
      <c r="I4" s="40" t="s">
        <v>224</v>
      </c>
      <c r="J4" s="40" t="s">
        <v>225</v>
      </c>
      <c r="K4" s="40" t="s">
        <v>226</v>
      </c>
      <c r="L4" s="40" t="s">
        <v>227</v>
      </c>
      <c r="M4" s="40" t="s">
        <v>228</v>
      </c>
      <c r="N4" s="40" t="s">
        <v>229</v>
      </c>
      <c r="O4" s="40" t="s">
        <v>230</v>
      </c>
      <c r="P4" s="40" t="s">
        <v>231</v>
      </c>
    </row>
    <row r="5" spans="1:17" ht="15" customHeight="1">
      <c r="A5" s="39">
        <v>2002</v>
      </c>
      <c r="B5" s="41">
        <v>144712</v>
      </c>
      <c r="C5" s="41">
        <v>153801</v>
      </c>
      <c r="D5" s="41">
        <f>C5-B5</f>
        <v>9089</v>
      </c>
      <c r="E5" s="42">
        <v>11654</v>
      </c>
      <c r="F5" s="42">
        <v>12386</v>
      </c>
      <c r="G5" s="41">
        <f>F5-E5</f>
        <v>732</v>
      </c>
      <c r="H5" s="42">
        <v>88907</v>
      </c>
      <c r="I5" s="42">
        <v>94490</v>
      </c>
      <c r="J5" s="41">
        <f>I5-H5</f>
        <v>5583</v>
      </c>
      <c r="K5" s="43">
        <f>658705+6326+10302+118994+45033+45075</f>
        <v>884435</v>
      </c>
      <c r="L5" s="42">
        <f>892094+47906</f>
        <v>940000</v>
      </c>
      <c r="M5" s="41">
        <f>L5-K5</f>
        <v>55565</v>
      </c>
      <c r="N5" s="42">
        <f>69114+36580+352190</f>
        <v>457884</v>
      </c>
      <c r="O5" s="44">
        <v>486705</v>
      </c>
      <c r="P5" s="41">
        <f>O5-N5</f>
        <v>28821</v>
      </c>
    </row>
    <row r="6" spans="1:17">
      <c r="A6" s="39">
        <v>2003</v>
      </c>
      <c r="B6" s="41">
        <v>150135</v>
      </c>
      <c r="C6" s="41">
        <v>159564</v>
      </c>
      <c r="D6" s="41">
        <f t="shared" ref="D6:D15" si="0">C6-B6</f>
        <v>9429</v>
      </c>
      <c r="E6" s="42">
        <v>42387</v>
      </c>
      <c r="F6" s="42">
        <v>45050</v>
      </c>
      <c r="G6" s="41">
        <f t="shared" ref="G6:G15" si="1">F6-E6</f>
        <v>2663</v>
      </c>
      <c r="H6" s="42">
        <v>92730</v>
      </c>
      <c r="I6" s="42">
        <v>98553</v>
      </c>
      <c r="J6" s="41">
        <f t="shared" ref="J6:J15" si="2">I6-H6</f>
        <v>5823</v>
      </c>
      <c r="K6" s="43">
        <f>680271+7498+8094+175810+45211</f>
        <v>916884</v>
      </c>
      <c r="L6" s="42">
        <f>926433+48050</f>
        <v>974483</v>
      </c>
      <c r="M6" s="41">
        <f t="shared" ref="M6:M15" si="3">L6-K6</f>
        <v>57599</v>
      </c>
      <c r="N6" s="42">
        <f>118671+402381+84047</f>
        <v>605099</v>
      </c>
      <c r="O6" s="44">
        <v>643121</v>
      </c>
      <c r="P6" s="41">
        <f t="shared" ref="P6:P15" si="4">O6-N6</f>
        <v>38022</v>
      </c>
    </row>
    <row r="7" spans="1:17">
      <c r="A7" s="39">
        <v>2004</v>
      </c>
      <c r="B7" s="41">
        <v>159740</v>
      </c>
      <c r="C7" s="41">
        <v>169772</v>
      </c>
      <c r="D7" s="41">
        <f t="shared" si="0"/>
        <v>10032</v>
      </c>
      <c r="E7" s="42">
        <v>128662</v>
      </c>
      <c r="F7" s="42">
        <v>136743</v>
      </c>
      <c r="G7" s="41">
        <f t="shared" si="1"/>
        <v>8081</v>
      </c>
      <c r="H7" s="42">
        <v>100248</v>
      </c>
      <c r="I7" s="42">
        <v>106545</v>
      </c>
      <c r="J7" s="41">
        <f t="shared" si="2"/>
        <v>6297</v>
      </c>
      <c r="K7" s="43">
        <f>749450+8880+8085+187559+46630</f>
        <v>1000604</v>
      </c>
      <c r="L7" s="42">
        <f>1013903+49559</f>
        <v>1063462</v>
      </c>
      <c r="M7" s="41">
        <f t="shared" si="3"/>
        <v>62858</v>
      </c>
      <c r="N7" s="42">
        <v>1061548</v>
      </c>
      <c r="O7" s="44">
        <v>1128219</v>
      </c>
      <c r="P7" s="41">
        <f t="shared" si="4"/>
        <v>66671</v>
      </c>
    </row>
    <row r="8" spans="1:17">
      <c r="A8" s="39">
        <v>2005</v>
      </c>
      <c r="B8" s="41">
        <v>174121</v>
      </c>
      <c r="C8" s="41">
        <v>185057</v>
      </c>
      <c r="D8" s="41">
        <f t="shared" si="0"/>
        <v>10936</v>
      </c>
      <c r="E8" s="42">
        <v>140411</v>
      </c>
      <c r="F8" s="42">
        <v>149230</v>
      </c>
      <c r="G8" s="41">
        <f t="shared" si="1"/>
        <v>8819</v>
      </c>
      <c r="H8" s="42">
        <v>101556</v>
      </c>
      <c r="I8" s="42">
        <v>107934</v>
      </c>
      <c r="J8" s="41">
        <f t="shared" si="2"/>
        <v>6378</v>
      </c>
      <c r="K8" s="43">
        <f>976387+10394+9234+199503+48867</f>
        <v>1244385</v>
      </c>
      <c r="L8" s="42">
        <f>1270620+51936</f>
        <v>1322556</v>
      </c>
      <c r="M8" s="41">
        <f t="shared" si="3"/>
        <v>78171</v>
      </c>
      <c r="N8" s="42">
        <v>1098373</v>
      </c>
      <c r="O8" s="44">
        <v>1167358</v>
      </c>
      <c r="P8" s="41">
        <f t="shared" si="4"/>
        <v>68985</v>
      </c>
    </row>
    <row r="9" spans="1:17">
      <c r="A9" s="39">
        <v>2006</v>
      </c>
      <c r="B9" s="41">
        <v>188673</v>
      </c>
      <c r="C9" s="41">
        <v>200523</v>
      </c>
      <c r="D9" s="41">
        <f t="shared" si="0"/>
        <v>11850</v>
      </c>
      <c r="E9" s="42">
        <v>193741</v>
      </c>
      <c r="F9" s="42">
        <v>205909</v>
      </c>
      <c r="G9" s="41">
        <f t="shared" si="1"/>
        <v>12168</v>
      </c>
      <c r="H9" s="42">
        <v>113237</v>
      </c>
      <c r="I9" s="42">
        <v>120349</v>
      </c>
      <c r="J9" s="41">
        <f t="shared" si="2"/>
        <v>7112</v>
      </c>
      <c r="K9" s="42">
        <f>2049550+52768</f>
        <v>2102318</v>
      </c>
      <c r="L9" s="42">
        <f>2178274+56082</f>
        <v>2234356</v>
      </c>
      <c r="M9" s="41">
        <f t="shared" si="3"/>
        <v>132038</v>
      </c>
      <c r="N9" s="42">
        <v>1393699</v>
      </c>
      <c r="O9" s="44">
        <v>1481232</v>
      </c>
      <c r="P9" s="41">
        <f t="shared" si="4"/>
        <v>87533</v>
      </c>
    </row>
    <row r="10" spans="1:17">
      <c r="A10" s="39">
        <v>2007</v>
      </c>
      <c r="B10" s="41">
        <v>203525</v>
      </c>
      <c r="C10" s="41">
        <v>216308</v>
      </c>
      <c r="D10" s="41">
        <f t="shared" si="0"/>
        <v>12783</v>
      </c>
      <c r="E10" s="42">
        <v>200481</v>
      </c>
      <c r="F10" s="42">
        <v>213073</v>
      </c>
      <c r="G10" s="41">
        <f t="shared" si="1"/>
        <v>12592</v>
      </c>
      <c r="H10" s="42">
        <v>121063</v>
      </c>
      <c r="I10" s="42">
        <v>128667</v>
      </c>
      <c r="J10" s="41">
        <f t="shared" si="2"/>
        <v>7604</v>
      </c>
      <c r="K10" s="42">
        <f>2497530+49489</f>
        <v>2547019</v>
      </c>
      <c r="L10" s="42">
        <f>2654390+52597</f>
        <v>2706987</v>
      </c>
      <c r="M10" s="41">
        <f t="shared" si="3"/>
        <v>159968</v>
      </c>
      <c r="N10" s="42">
        <v>1498292</v>
      </c>
      <c r="O10" s="44">
        <v>1592394</v>
      </c>
      <c r="P10" s="41">
        <f t="shared" si="4"/>
        <v>94102</v>
      </c>
    </row>
    <row r="11" spans="1:17">
      <c r="A11" s="39">
        <v>2008</v>
      </c>
      <c r="B11" s="41">
        <v>224909</v>
      </c>
      <c r="C11" s="41">
        <v>239035</v>
      </c>
      <c r="D11" s="41">
        <f t="shared" si="0"/>
        <v>14126</v>
      </c>
      <c r="E11" s="42">
        <v>129968</v>
      </c>
      <c r="F11" s="42">
        <v>138131</v>
      </c>
      <c r="G11" s="41">
        <f t="shared" si="1"/>
        <v>8163</v>
      </c>
      <c r="H11" s="42">
        <v>132284</v>
      </c>
      <c r="I11" s="42">
        <v>140592</v>
      </c>
      <c r="J11" s="41">
        <f t="shared" si="2"/>
        <v>8308</v>
      </c>
      <c r="K11" s="42">
        <f>1837558+52795</f>
        <v>1890353</v>
      </c>
      <c r="L11" s="42">
        <f>1952967+56111</f>
        <v>2009078</v>
      </c>
      <c r="M11" s="41">
        <f t="shared" si="3"/>
        <v>118725</v>
      </c>
      <c r="N11" s="42">
        <v>1191337</v>
      </c>
      <c r="O11" s="44">
        <v>1266160</v>
      </c>
      <c r="P11" s="41">
        <f t="shared" si="4"/>
        <v>74823</v>
      </c>
    </row>
    <row r="12" spans="1:17">
      <c r="A12" s="39">
        <v>2009</v>
      </c>
      <c r="B12" s="41">
        <v>242384</v>
      </c>
      <c r="C12" s="41">
        <v>257303</v>
      </c>
      <c r="D12" s="41">
        <f t="shared" si="0"/>
        <v>14919</v>
      </c>
      <c r="E12" s="42">
        <v>27720</v>
      </c>
      <c r="F12" s="42">
        <v>29621</v>
      </c>
      <c r="G12" s="41">
        <f t="shared" si="1"/>
        <v>1901</v>
      </c>
      <c r="H12" s="42">
        <v>132412</v>
      </c>
      <c r="I12" s="42">
        <v>140562</v>
      </c>
      <c r="J12" s="41">
        <f t="shared" si="2"/>
        <v>8150</v>
      </c>
      <c r="K12" s="42">
        <f>1764297+60506</f>
        <v>1824803</v>
      </c>
      <c r="L12" s="42">
        <f>1872891+64230</f>
        <v>1937121</v>
      </c>
      <c r="M12" s="41">
        <f t="shared" si="3"/>
        <v>112318</v>
      </c>
      <c r="N12" s="42">
        <v>1104996</v>
      </c>
      <c r="O12" s="44">
        <v>1173010</v>
      </c>
      <c r="P12" s="41">
        <f t="shared" si="4"/>
        <v>68014</v>
      </c>
    </row>
    <row r="13" spans="1:17">
      <c r="A13" s="39">
        <v>2010</v>
      </c>
      <c r="B13" s="41">
        <v>230300</v>
      </c>
      <c r="C13" s="41">
        <v>244475</v>
      </c>
      <c r="D13" s="41">
        <f t="shared" si="0"/>
        <v>14175</v>
      </c>
      <c r="E13" s="42">
        <v>21302</v>
      </c>
      <c r="F13" s="42">
        <v>22762</v>
      </c>
      <c r="G13" s="41">
        <f t="shared" si="1"/>
        <v>1460</v>
      </c>
      <c r="H13" s="42">
        <v>139305</v>
      </c>
      <c r="I13" s="42">
        <v>147879</v>
      </c>
      <c r="J13" s="41">
        <f t="shared" si="2"/>
        <v>8574</v>
      </c>
      <c r="K13" s="42">
        <f>1781367+58081</f>
        <v>1839448</v>
      </c>
      <c r="L13" s="42">
        <f>1891012+61656</f>
        <v>1952668</v>
      </c>
      <c r="M13" s="41">
        <f t="shared" si="3"/>
        <v>113220</v>
      </c>
      <c r="N13" s="42">
        <v>1054605</v>
      </c>
      <c r="O13" s="44">
        <v>1119517</v>
      </c>
      <c r="P13" s="41">
        <f t="shared" si="4"/>
        <v>64912</v>
      </c>
    </row>
    <row r="14" spans="1:17">
      <c r="A14" s="39">
        <v>2011</v>
      </c>
      <c r="B14" s="42">
        <v>255471</v>
      </c>
      <c r="C14" s="42">
        <v>289908</v>
      </c>
      <c r="D14" s="41">
        <f t="shared" si="0"/>
        <v>34437</v>
      </c>
      <c r="E14" s="42">
        <v>20306</v>
      </c>
      <c r="F14" s="42">
        <v>23349</v>
      </c>
      <c r="G14" s="41">
        <f t="shared" si="1"/>
        <v>3043</v>
      </c>
      <c r="H14" s="42">
        <v>155269</v>
      </c>
      <c r="I14" s="42">
        <v>176198</v>
      </c>
      <c r="J14" s="41">
        <f t="shared" si="2"/>
        <v>20929</v>
      </c>
      <c r="K14" s="42">
        <f>2033789+62133</f>
        <v>2095922</v>
      </c>
      <c r="L14" s="42">
        <f>2307936+70508</f>
        <v>2378444</v>
      </c>
      <c r="M14" s="41">
        <f t="shared" si="3"/>
        <v>282522</v>
      </c>
      <c r="N14" s="42">
        <v>1179354</v>
      </c>
      <c r="O14" s="44">
        <v>1338327</v>
      </c>
      <c r="P14" s="41">
        <f t="shared" si="4"/>
        <v>158973</v>
      </c>
    </row>
    <row r="15" spans="1:17">
      <c r="A15" s="39">
        <v>2012</v>
      </c>
      <c r="B15" s="42">
        <v>271410</v>
      </c>
      <c r="C15" s="42">
        <v>307995</v>
      </c>
      <c r="D15" s="41">
        <f t="shared" si="0"/>
        <v>36585</v>
      </c>
      <c r="E15" s="42">
        <v>20034</v>
      </c>
      <c r="F15" s="42">
        <v>23036</v>
      </c>
      <c r="G15" s="41">
        <f t="shared" si="1"/>
        <v>3002</v>
      </c>
      <c r="H15" s="42">
        <v>162631</v>
      </c>
      <c r="I15" s="42">
        <v>184553</v>
      </c>
      <c r="J15" s="41">
        <f t="shared" si="2"/>
        <v>21922</v>
      </c>
      <c r="K15" s="42">
        <f>2160117+67605</f>
        <v>2227722</v>
      </c>
      <c r="L15" s="42">
        <f>2451293+76718</f>
        <v>2528011</v>
      </c>
      <c r="M15" s="41">
        <f t="shared" si="3"/>
        <v>300289</v>
      </c>
      <c r="N15" s="42">
        <v>1257858.5810331493</v>
      </c>
      <c r="O15" s="44">
        <v>1427413</v>
      </c>
      <c r="P15" s="41">
        <f t="shared" si="4"/>
        <v>169554.41896685073</v>
      </c>
    </row>
    <row r="16" spans="1:17">
      <c r="A16" s="39">
        <v>2013</v>
      </c>
      <c r="B16" s="42">
        <v>281973.85858011048</v>
      </c>
      <c r="C16" s="42">
        <v>319982.87400000001</v>
      </c>
      <c r="D16" s="41">
        <v>38009.015419889503</v>
      </c>
      <c r="E16" s="42">
        <v>23059.722063636364</v>
      </c>
      <c r="F16" s="42">
        <v>26514.663</v>
      </c>
      <c r="G16" s="41">
        <v>3454.940936363636</v>
      </c>
      <c r="H16" s="42">
        <v>164091.54412430941</v>
      </c>
      <c r="I16" s="42">
        <v>186210.467</v>
      </c>
      <c r="J16" s="41">
        <v>22118.922875690605</v>
      </c>
      <c r="K16" s="42">
        <f>2245974+72182</f>
        <v>2318156</v>
      </c>
      <c r="L16" s="42">
        <f>2548723+81912</f>
        <v>2630635</v>
      </c>
      <c r="M16" s="41">
        <f>302749+9730</f>
        <v>312479</v>
      </c>
      <c r="N16" s="42">
        <v>1338617.9675303868</v>
      </c>
      <c r="O16" s="44">
        <v>1519058.6340000001</v>
      </c>
      <c r="P16" s="41">
        <v>180440.66646961326</v>
      </c>
    </row>
    <row r="17" spans="1:16">
      <c r="A17" s="39">
        <v>2014</v>
      </c>
      <c r="B17" s="42">
        <v>295460</v>
      </c>
      <c r="C17" s="42">
        <v>336213</v>
      </c>
      <c r="D17" s="41">
        <v>40753</v>
      </c>
      <c r="E17" s="42">
        <v>27965</v>
      </c>
      <c r="F17" s="42">
        <v>32267</v>
      </c>
      <c r="G17" s="41">
        <v>4302</v>
      </c>
      <c r="H17" s="42">
        <v>184537</v>
      </c>
      <c r="I17" s="42">
        <v>209991</v>
      </c>
      <c r="J17" s="41">
        <v>25453</v>
      </c>
      <c r="K17" s="42">
        <f t="shared" ref="K17:K19" si="5">L17-M17</f>
        <v>2429369</v>
      </c>
      <c r="L17" s="42">
        <f>2676904+87550</f>
        <v>2764454</v>
      </c>
      <c r="M17" s="41">
        <f>324473+10612</f>
        <v>335085</v>
      </c>
      <c r="N17" s="42">
        <v>1410878</v>
      </c>
      <c r="O17" s="44">
        <v>1605482</v>
      </c>
      <c r="P17" s="41">
        <v>194604</v>
      </c>
    </row>
    <row r="18" spans="1:16">
      <c r="A18" s="39">
        <v>2015</v>
      </c>
      <c r="B18" s="42">
        <f>C18-D18</f>
        <v>312038.08863636362</v>
      </c>
      <c r="C18" s="42">
        <f>355077825/1000</f>
        <v>355077.82500000001</v>
      </c>
      <c r="D18" s="41">
        <f>43039736.3636364/1000</f>
        <v>43039.736363636395</v>
      </c>
      <c r="E18" s="42">
        <f>F18-G18</f>
        <v>27754.168000000001</v>
      </c>
      <c r="F18" s="42">
        <f>32024040/1000</f>
        <v>32024.04</v>
      </c>
      <c r="G18" s="41">
        <f>4269872/1000</f>
        <v>4269.8720000000003</v>
      </c>
      <c r="H18" s="42">
        <f>I18-J18</f>
        <v>182971.962</v>
      </c>
      <c r="I18" s="42">
        <f>208209474/1000</f>
        <v>208209.47399999999</v>
      </c>
      <c r="J18" s="41">
        <f>25237512/1000</f>
        <v>25237.511999999999</v>
      </c>
      <c r="K18" s="42">
        <f t="shared" si="5"/>
        <v>2599272</v>
      </c>
      <c r="L18" s="42">
        <f>2865658+92134</f>
        <v>2957792</v>
      </c>
      <c r="M18" s="41">
        <f>347352+11168</f>
        <v>358520</v>
      </c>
      <c r="N18" s="42">
        <f>O18-P18</f>
        <v>1484773.205757576</v>
      </c>
      <c r="O18" s="44">
        <f>1689569510/1000</f>
        <v>1689569.51</v>
      </c>
      <c r="P18" s="41">
        <f>204796304.242424/1000</f>
        <v>204796.304242424</v>
      </c>
    </row>
    <row r="19" spans="1:16">
      <c r="A19" s="39">
        <v>2016</v>
      </c>
      <c r="B19" s="42">
        <f>C19-D19</f>
        <v>332093.67100000003</v>
      </c>
      <c r="C19" s="45">
        <f>377899695/1000</f>
        <v>377899.69500000001</v>
      </c>
      <c r="D19" s="45">
        <f>45806024/1000</f>
        <v>45806.023999999998</v>
      </c>
      <c r="E19" s="42">
        <f>F19-G19</f>
        <v>32751.54</v>
      </c>
      <c r="F19" s="45">
        <f>37790239/1000</f>
        <v>37790.239000000001</v>
      </c>
      <c r="G19" s="45">
        <f>5038699/1000</f>
        <v>5038.6989999999996</v>
      </c>
      <c r="H19" s="42">
        <f>I19-J19</f>
        <v>200434.86800000002</v>
      </c>
      <c r="I19" s="42">
        <f>228081057/1000</f>
        <v>228081.057</v>
      </c>
      <c r="J19" s="46">
        <f>27646189/1000</f>
        <v>27646.188999999998</v>
      </c>
      <c r="K19" s="42">
        <f t="shared" si="5"/>
        <v>2682505</v>
      </c>
      <c r="L19" s="46">
        <f>2950290+102443</f>
        <v>3052733</v>
      </c>
      <c r="M19" s="46">
        <f>357811+12417</f>
        <v>370228</v>
      </c>
      <c r="N19" s="42">
        <f>O19-P19</f>
        <v>1649092.659</v>
      </c>
      <c r="O19" s="46">
        <f>1876553715/1000</f>
        <v>1876553.7150000001</v>
      </c>
      <c r="P19" s="46">
        <f>227461056/1000</f>
        <v>227461.05600000001</v>
      </c>
    </row>
    <row r="20" spans="1:16">
      <c r="A20" s="39">
        <v>2017</v>
      </c>
      <c r="B20" s="42">
        <f>C20-D20</f>
        <v>353312.88700000005</v>
      </c>
      <c r="C20" s="45">
        <f>402045699/1000</f>
        <v>402045.69900000002</v>
      </c>
      <c r="D20" s="45">
        <f>48732812/1000</f>
        <v>48732.811999999998</v>
      </c>
      <c r="E20" s="42">
        <f>F20-G20</f>
        <v>35144.137999999999</v>
      </c>
      <c r="F20" s="45">
        <f>40550929/1000</f>
        <v>40550.928999999996</v>
      </c>
      <c r="G20" s="45">
        <f>5406791/1000</f>
        <v>5406.7910000000002</v>
      </c>
      <c r="H20" s="42">
        <f>I20-J20</f>
        <v>225638.96899999998</v>
      </c>
      <c r="I20" s="42">
        <f>256761585/1000</f>
        <v>256761.58499999999</v>
      </c>
      <c r="J20" s="46">
        <f>31122616/1000</f>
        <v>31122.616000000002</v>
      </c>
      <c r="K20" s="42">
        <f>L20-M20</f>
        <v>2846951</v>
      </c>
      <c r="L20" s="46">
        <f>3135695+103939</f>
        <v>3239634</v>
      </c>
      <c r="M20" s="46">
        <f>380084+12599</f>
        <v>392683</v>
      </c>
      <c r="N20" s="42">
        <f>O20-P20</f>
        <v>1796979.0129999998</v>
      </c>
      <c r="O20" s="46">
        <f>2044838187/1000</f>
        <v>2044838.1869999999</v>
      </c>
      <c r="P20" s="46">
        <f>247859174/1000</f>
        <v>247859.174</v>
      </c>
    </row>
    <row r="21" spans="1:16">
      <c r="A21" s="1">
        <v>2018</v>
      </c>
      <c r="B21" s="42">
        <v>391192.27396969701</v>
      </c>
      <c r="C21" s="45">
        <v>445149.82900000003</v>
      </c>
      <c r="D21" s="45">
        <v>53957.555030303032</v>
      </c>
      <c r="E21" s="42">
        <v>35927.311333333331</v>
      </c>
      <c r="F21" s="45">
        <v>41454.589999999997</v>
      </c>
      <c r="G21" s="45">
        <v>5527.2786666666661</v>
      </c>
      <c r="H21" s="42">
        <v>241357.20151515148</v>
      </c>
      <c r="I21" s="42">
        <v>274647.84999999998</v>
      </c>
      <c r="J21" s="46">
        <v>33290.648484848483</v>
      </c>
      <c r="K21" s="42">
        <v>3071148.5776363635</v>
      </c>
      <c r="L21" s="46">
        <v>3494755.2779999999</v>
      </c>
      <c r="M21" s="46">
        <v>423606.70036363637</v>
      </c>
      <c r="N21" s="42">
        <v>1903716.0533939395</v>
      </c>
      <c r="O21" s="46">
        <v>2166297.5780000002</v>
      </c>
      <c r="P21" s="46">
        <v>262581.52460606064</v>
      </c>
    </row>
    <row r="22" spans="1:16">
      <c r="A22" s="39">
        <v>2019</v>
      </c>
      <c r="B22" s="42">
        <f>C22-D22</f>
        <v>399903.6911818182</v>
      </c>
      <c r="C22" s="45">
        <f>Frumgögn!E62/1000</f>
        <v>455062.821</v>
      </c>
      <c r="D22" s="45">
        <f>-(Frumgögn!F62/1000)</f>
        <v>55159.12981818182</v>
      </c>
      <c r="E22" s="42">
        <f>F22-G22</f>
        <v>42537.638866666668</v>
      </c>
      <c r="F22" s="45">
        <f>Frumgögn!E65/1000</f>
        <v>49081.891000000003</v>
      </c>
      <c r="G22" s="45">
        <f>-(Frumgögn!F65/1000)</f>
        <v>6544.2521333333325</v>
      </c>
      <c r="H22" s="42">
        <f>I22-J22</f>
        <v>268253.81130303029</v>
      </c>
      <c r="I22" s="42">
        <f>Frumgögn!E67/1000</f>
        <v>305254.337</v>
      </c>
      <c r="J22" s="46">
        <f>-(Frumgögn!F67/1000)</f>
        <v>37000.525696969693</v>
      </c>
      <c r="K22" s="42">
        <f>L22-M22</f>
        <v>3195497.654787879</v>
      </c>
      <c r="L22" s="46">
        <f>Frumgögn!E63/1000</f>
        <v>3636255.952</v>
      </c>
      <c r="M22" s="46">
        <f>-(Frumgögn!F63/1000)</f>
        <v>440758.29721212125</v>
      </c>
      <c r="N22" s="42">
        <f>O22-P22</f>
        <v>2004413.8070606063</v>
      </c>
      <c r="O22" s="46">
        <f>Frumgögn!E68/1000</f>
        <v>2280884.6770000001</v>
      </c>
      <c r="P22" s="46">
        <f>-(Frumgögn!F68/1000)</f>
        <v>276470.86993939395</v>
      </c>
    </row>
    <row r="32" spans="1:16" ht="15.75" thickBot="1"/>
    <row r="33" spans="1:15" ht="15.75" thickBot="1">
      <c r="A33" s="48"/>
      <c r="B33" s="48"/>
      <c r="C33" s="48"/>
      <c r="D33" s="48"/>
      <c r="E33" s="48"/>
      <c r="F33" s="48"/>
    </row>
    <row r="34" spans="1:15" ht="15.75" thickBot="1">
      <c r="A34" s="117" t="s">
        <v>232</v>
      </c>
      <c r="B34" s="118"/>
      <c r="C34" s="118"/>
      <c r="D34" s="118"/>
      <c r="E34" s="118"/>
      <c r="F34" s="119"/>
      <c r="I34" s="49" t="s">
        <v>233</v>
      </c>
      <c r="J34" s="53"/>
      <c r="K34" s="117" t="s">
        <v>234</v>
      </c>
      <c r="L34" s="118"/>
      <c r="M34" s="118"/>
      <c r="N34" s="118"/>
      <c r="O34" s="119"/>
    </row>
    <row r="35" spans="1:15">
      <c r="A35" s="39" t="s">
        <v>216</v>
      </c>
      <c r="B35" s="39" t="s">
        <v>152</v>
      </c>
      <c r="C35" s="39" t="s">
        <v>158</v>
      </c>
      <c r="D35" s="39" t="s">
        <v>162</v>
      </c>
      <c r="E35" s="39" t="s">
        <v>154</v>
      </c>
      <c r="F35" s="39" t="s">
        <v>164</v>
      </c>
      <c r="I35" s="50" t="s">
        <v>235</v>
      </c>
      <c r="J35" s="39" t="s">
        <v>216</v>
      </c>
      <c r="K35" s="39" t="s">
        <v>152</v>
      </c>
      <c r="L35" s="39" t="s">
        <v>158</v>
      </c>
      <c r="M35" s="39" t="s">
        <v>162</v>
      </c>
      <c r="N35" s="39" t="s">
        <v>154</v>
      </c>
      <c r="O35" s="39" t="s">
        <v>164</v>
      </c>
    </row>
    <row r="36" spans="1:15">
      <c r="A36" s="39">
        <v>2002</v>
      </c>
      <c r="B36" s="41">
        <f>B5</f>
        <v>144712</v>
      </c>
      <c r="C36" s="42">
        <f>E5</f>
        <v>11654</v>
      </c>
      <c r="D36" s="42">
        <f>H5</f>
        <v>88907</v>
      </c>
      <c r="E36" s="43">
        <f>K5</f>
        <v>884435</v>
      </c>
      <c r="F36" s="42">
        <f>N5</f>
        <v>457884</v>
      </c>
      <c r="I36" s="39">
        <v>222.6</v>
      </c>
      <c r="J36" s="39">
        <v>2002</v>
      </c>
      <c r="K36" s="51">
        <f>Table3[[#This Row],[Seyðisfjarðarkaupstaður]]*$I$35/I36</f>
        <v>304636.31266846362</v>
      </c>
      <c r="L36" s="51">
        <f>Table3[[#This Row],[Fljótsdalshreppur]]*$I$35/I36</f>
        <v>24533.083557951486</v>
      </c>
      <c r="M36" s="51">
        <f>Table3[[#This Row],[Djúpavogshreppur]]*$I$35/I36</f>
        <v>187160.01886792455</v>
      </c>
      <c r="N36" s="51">
        <f>Table3[[#This Row],[Fjarðabyggð]]*$I$35/I36</f>
        <v>1861842.9514824799</v>
      </c>
      <c r="O36" s="51">
        <f>Table3[[#This Row],[Fljótsdalshérað]]*$I$35/I36</f>
        <v>963901.35849056614</v>
      </c>
    </row>
    <row r="37" spans="1:15">
      <c r="A37" s="39">
        <v>2003</v>
      </c>
      <c r="B37" s="41">
        <f t="shared" ref="B37:B53" si="6">B6</f>
        <v>150135</v>
      </c>
      <c r="C37" s="42">
        <f t="shared" ref="C37:C53" si="7">E6</f>
        <v>42387</v>
      </c>
      <c r="D37" s="42">
        <f t="shared" ref="D37:D53" si="8">H6</f>
        <v>92730</v>
      </c>
      <c r="E37" s="43">
        <f t="shared" ref="E37:E53" si="9">K6</f>
        <v>916884</v>
      </c>
      <c r="F37" s="42">
        <f t="shared" ref="F37:F53" si="10">N6</f>
        <v>605099</v>
      </c>
      <c r="I37" s="39">
        <v>227.3</v>
      </c>
      <c r="J37" s="39">
        <v>2003</v>
      </c>
      <c r="K37" s="51">
        <f>Table3[[#This Row],[Seyðisfjarðarkaupstaður]]*$I$35/I37</f>
        <v>309517.20633523975</v>
      </c>
      <c r="L37" s="51">
        <f>Table3[[#This Row],[Fljótsdalshreppur]]*$I$35/I37</f>
        <v>87384.725912890441</v>
      </c>
      <c r="M37" s="51">
        <f>Table3[[#This Row],[Djúpavogshreppur]]*$I$35/I37</f>
        <v>191171.48262208534</v>
      </c>
      <c r="N37" s="51">
        <f>Table3[[#This Row],[Fjarðabyggð]]*$I$35/I37</f>
        <v>1890241.2776066873</v>
      </c>
      <c r="O37" s="51">
        <f>Table3[[#This Row],[Fljótsdalshérað]]*$I$35/I37</f>
        <v>1247467.6260448748</v>
      </c>
    </row>
    <row r="38" spans="1:15">
      <c r="A38" s="39">
        <v>2004</v>
      </c>
      <c r="B38" s="41">
        <f t="shared" si="6"/>
        <v>159740</v>
      </c>
      <c r="C38" s="42">
        <f t="shared" si="7"/>
        <v>128662</v>
      </c>
      <c r="D38" s="42">
        <f t="shared" si="8"/>
        <v>100248</v>
      </c>
      <c r="E38" s="43">
        <f t="shared" si="9"/>
        <v>1000604</v>
      </c>
      <c r="F38" s="42">
        <f t="shared" si="10"/>
        <v>1061548</v>
      </c>
      <c r="I38" s="39">
        <v>234.6</v>
      </c>
      <c r="J38" s="39">
        <v>2004</v>
      </c>
      <c r="K38" s="51">
        <f>Table3[[#This Row],[Seyðisfjarðarkaupstaður]]*$I$35/I38</f>
        <v>319071.4578005115</v>
      </c>
      <c r="L38" s="51">
        <f>Table3[[#This Row],[Fljótsdalshreppur]]*$I$35/I38</f>
        <v>256994.9411764706</v>
      </c>
      <c r="M38" s="51">
        <f>Table3[[#This Row],[Djúpavogshreppur]]*$I$35/I38</f>
        <v>200239.61125319696</v>
      </c>
      <c r="N38" s="51">
        <f>Table3[[#This Row],[Fjarðabyggð]]*$I$35/I38</f>
        <v>1998648.9104859338</v>
      </c>
      <c r="O38" s="51">
        <f>Table3[[#This Row],[Fljótsdalshérað]]*$I$35/I38</f>
        <v>2120381.0434782607</v>
      </c>
    </row>
    <row r="39" spans="1:15">
      <c r="A39" s="39">
        <v>2005</v>
      </c>
      <c r="B39" s="41">
        <f t="shared" si="6"/>
        <v>174121</v>
      </c>
      <c r="C39" s="42">
        <f t="shared" si="7"/>
        <v>140411</v>
      </c>
      <c r="D39" s="42">
        <f t="shared" si="8"/>
        <v>101556</v>
      </c>
      <c r="E39" s="43">
        <f t="shared" si="9"/>
        <v>1244385</v>
      </c>
      <c r="F39" s="42">
        <f t="shared" si="10"/>
        <v>1098373</v>
      </c>
      <c r="I39" s="39">
        <v>244.1</v>
      </c>
      <c r="J39" s="39">
        <v>2005</v>
      </c>
      <c r="K39" s="51">
        <f>Table3[[#This Row],[Seyðisfjarðarkaupstaður]]*$I$35/I39</f>
        <v>334260.96108152403</v>
      </c>
      <c r="L39" s="51">
        <f>Table3[[#This Row],[Fljótsdalshreppur]]*$I$35/I39</f>
        <v>269547.70421958214</v>
      </c>
      <c r="M39" s="51">
        <f>Table3[[#This Row],[Djúpavogshreppur]]*$I$35/I39</f>
        <v>194957.56493240476</v>
      </c>
      <c r="N39" s="51">
        <f>Table3[[#This Row],[Fjarðabyggð]]*$I$35/I39</f>
        <v>2388852.1548545677</v>
      </c>
      <c r="O39" s="51">
        <f>Table3[[#This Row],[Fljótsdalshérað]]*$I$35/I39</f>
        <v>2108552.1827120036</v>
      </c>
    </row>
    <row r="40" spans="1:15">
      <c r="A40" s="39">
        <v>2006</v>
      </c>
      <c r="B40" s="41">
        <f t="shared" si="6"/>
        <v>188673</v>
      </c>
      <c r="C40" s="42">
        <f t="shared" si="7"/>
        <v>193741</v>
      </c>
      <c r="D40" s="42">
        <f>H9</f>
        <v>113237</v>
      </c>
      <c r="E40" s="43">
        <f t="shared" si="9"/>
        <v>2102318</v>
      </c>
      <c r="F40" s="42">
        <f t="shared" si="10"/>
        <v>1393699</v>
      </c>
      <c r="I40" s="39">
        <v>260.60000000000002</v>
      </c>
      <c r="J40" s="39">
        <v>2006</v>
      </c>
      <c r="K40" s="51">
        <f>Table3[[#This Row],[Seyðisfjarðarkaupstaður]]*$I$35/I40</f>
        <v>339263.88257866458</v>
      </c>
      <c r="L40" s="51">
        <f>Table3[[#This Row],[Fljótsdalshreppur]]*$I$35/I40</f>
        <v>348376.94781273982</v>
      </c>
      <c r="M40" s="51">
        <f>Table3[[#This Row],[Djúpavogshreppur]]*$I$35/I40</f>
        <v>203618.02839600921</v>
      </c>
      <c r="N40" s="51">
        <f>Table3[[#This Row],[Fjarðabyggð]]*$I$35/I40</f>
        <v>3780300.1335379891</v>
      </c>
      <c r="O40" s="51">
        <f>Table3[[#This Row],[Fljótsdalshérað]]*$I$35/I40</f>
        <v>2506091.1412125858</v>
      </c>
    </row>
    <row r="41" spans="1:15">
      <c r="A41" s="39">
        <v>2007</v>
      </c>
      <c r="B41" s="41">
        <f t="shared" si="6"/>
        <v>203525</v>
      </c>
      <c r="C41" s="42">
        <f t="shared" si="7"/>
        <v>200481</v>
      </c>
      <c r="D41" s="42">
        <f t="shared" si="8"/>
        <v>121063</v>
      </c>
      <c r="E41" s="43">
        <f t="shared" si="9"/>
        <v>2547019</v>
      </c>
      <c r="F41" s="42">
        <f t="shared" si="10"/>
        <v>1498292</v>
      </c>
      <c r="I41" s="39">
        <v>273.7</v>
      </c>
      <c r="J41" s="39">
        <v>2007</v>
      </c>
      <c r="K41" s="51">
        <f>Table3[[#This Row],[Seyðisfjarðarkaupstaður]]*$I$35/I41</f>
        <v>348453.83631713554</v>
      </c>
      <c r="L41" s="51">
        <f>Table3[[#This Row],[Fljótsdalshreppur]]*$I$35/I41</f>
        <v>343242.2236024845</v>
      </c>
      <c r="M41" s="51">
        <f>Table3[[#This Row],[Djúpavogshreppur]]*$I$35/I41</f>
        <v>207271.17939349657</v>
      </c>
      <c r="N41" s="51">
        <f>Table3[[#This Row],[Fjarðabyggð]]*$I$35/I41</f>
        <v>4360734.7584947031</v>
      </c>
      <c r="O41" s="51">
        <f>Table3[[#This Row],[Fljótsdalshérað]]*$I$35/I41</f>
        <v>2565216.0438436246</v>
      </c>
    </row>
    <row r="42" spans="1:15">
      <c r="A42" s="39">
        <v>2008</v>
      </c>
      <c r="B42" s="41">
        <f t="shared" si="6"/>
        <v>224909</v>
      </c>
      <c r="C42" s="42">
        <f t="shared" si="7"/>
        <v>129968</v>
      </c>
      <c r="D42" s="42">
        <f t="shared" si="8"/>
        <v>132284</v>
      </c>
      <c r="E42" s="43">
        <f t="shared" si="9"/>
        <v>1890353</v>
      </c>
      <c r="F42" s="42">
        <f t="shared" si="10"/>
        <v>1191337</v>
      </c>
      <c r="I42" s="39">
        <v>307.7</v>
      </c>
      <c r="J42" s="39">
        <v>2008</v>
      </c>
      <c r="K42" s="51">
        <f>Table3[[#This Row],[Seyðisfjarðarkaupstaður]]*$I$35/I42</f>
        <v>342516.59863503417</v>
      </c>
      <c r="L42" s="51">
        <f>Table3[[#This Row],[Fljótsdalshreppur]]*$I$35/I42</f>
        <v>197929.81735456616</v>
      </c>
      <c r="M42" s="51">
        <f>Table3[[#This Row],[Djúpavogshreppur]]*$I$35/I42</f>
        <v>201456.88137796559</v>
      </c>
      <c r="N42" s="51">
        <f>Table3[[#This Row],[Fjarðabyggð]]*$I$35/I42</f>
        <v>2878841.1303217425</v>
      </c>
      <c r="O42" s="51">
        <f>Table3[[#This Row],[Fljótsdalshérað]]*$I$35/I42</f>
        <v>1814301.3266168348</v>
      </c>
    </row>
    <row r="43" spans="1:15">
      <c r="A43" s="39">
        <v>2009</v>
      </c>
      <c r="B43" s="41">
        <f t="shared" si="6"/>
        <v>242384</v>
      </c>
      <c r="C43" s="42">
        <f t="shared" si="7"/>
        <v>27720</v>
      </c>
      <c r="D43" s="42">
        <f t="shared" si="8"/>
        <v>132412</v>
      </c>
      <c r="E43" s="43">
        <f t="shared" si="9"/>
        <v>1824803</v>
      </c>
      <c r="F43" s="42">
        <f t="shared" si="10"/>
        <v>1104996</v>
      </c>
      <c r="I43" s="39">
        <v>344.6</v>
      </c>
      <c r="J43" s="39">
        <v>2009</v>
      </c>
      <c r="K43" s="51">
        <f>Table3[[#This Row],[Seyðisfjarðarkaupstaður]]*$I$35/I43</f>
        <v>329602.8508415554</v>
      </c>
      <c r="L43" s="51">
        <f>Table3[[#This Row],[Fljótsdalshreppur]]*$I$35/I43</f>
        <v>37694.69529889727</v>
      </c>
      <c r="M43" s="51">
        <f>Table3[[#This Row],[Djúpavogshreppur]]*$I$35/I43</f>
        <v>180058.80208937899</v>
      </c>
      <c r="N43" s="51">
        <f>Table3[[#This Row],[Fjarðabyggð]]*$I$35/I43</f>
        <v>2481435.5362739409</v>
      </c>
      <c r="O43" s="51">
        <f>Table3[[#This Row],[Fljótsdalshérað]]*$I$35/I43</f>
        <v>1502614.9901334881</v>
      </c>
    </row>
    <row r="44" spans="1:15">
      <c r="A44" s="39">
        <v>2010</v>
      </c>
      <c r="B44" s="41">
        <f t="shared" si="6"/>
        <v>230300</v>
      </c>
      <c r="C44" s="42">
        <f t="shared" si="7"/>
        <v>21302</v>
      </c>
      <c r="D44" s="42">
        <f t="shared" si="8"/>
        <v>139305</v>
      </c>
      <c r="E44" s="43">
        <f t="shared" si="9"/>
        <v>1839448</v>
      </c>
      <c r="F44" s="42">
        <f t="shared" si="10"/>
        <v>1054605</v>
      </c>
      <c r="I44" s="39">
        <v>363.2</v>
      </c>
      <c r="J44" s="39">
        <v>2010</v>
      </c>
      <c r="K44" s="51">
        <f>Table3[[#This Row],[Seyðisfjarðarkaupstaður]]*$I$35/I44</f>
        <v>297132.65418502205</v>
      </c>
      <c r="L44" s="51">
        <f>Table3[[#This Row],[Fljótsdalshreppur]]*$I$35/I44</f>
        <v>27483.802863436129</v>
      </c>
      <c r="M44" s="51">
        <f>Table3[[#This Row],[Djúpavogshreppur]]*$I$35/I44</f>
        <v>179731.06552863435</v>
      </c>
      <c r="N44" s="51">
        <f>Table3[[#This Row],[Fjarðabyggð]]*$I$35/I44</f>
        <v>2373252.5682819388</v>
      </c>
      <c r="O44" s="51">
        <f>Table3[[#This Row],[Fljótsdalshérað]]*$I$35/I44</f>
        <v>1360649.5126651982</v>
      </c>
    </row>
    <row r="45" spans="1:15">
      <c r="A45" s="39">
        <v>2011</v>
      </c>
      <c r="B45" s="41">
        <f t="shared" si="6"/>
        <v>255471</v>
      </c>
      <c r="C45" s="42">
        <f t="shared" si="7"/>
        <v>20306</v>
      </c>
      <c r="D45" s="42">
        <f t="shared" si="8"/>
        <v>155269</v>
      </c>
      <c r="E45" s="43">
        <f t="shared" si="9"/>
        <v>2095922</v>
      </c>
      <c r="F45" s="42">
        <f t="shared" si="10"/>
        <v>1179354</v>
      </c>
      <c r="I45" s="39">
        <v>377.7</v>
      </c>
      <c r="J45" s="39">
        <v>2011</v>
      </c>
      <c r="K45" s="51">
        <f>Table3[[#This Row],[Seyðisfjarðarkaupstaður]]*$I$35/I45</f>
        <v>316954.48927720415</v>
      </c>
      <c r="L45" s="51">
        <f>Table3[[#This Row],[Fljótsdalshreppur]]*$I$35/I45</f>
        <v>25192.988085782366</v>
      </c>
      <c r="M45" s="51">
        <f>Table3[[#This Row],[Djúpavogshreppur]]*$I$35/I45</f>
        <v>192637.15488482924</v>
      </c>
      <c r="N45" s="51">
        <f>Table3[[#This Row],[Fjarðabyggð]]*$I$35/I45</f>
        <v>2600341.6711675934</v>
      </c>
      <c r="O45" s="51">
        <f>Table3[[#This Row],[Fljótsdalshérað]]*$I$35/I45</f>
        <v>1463185.8204924543</v>
      </c>
    </row>
    <row r="46" spans="1:15">
      <c r="A46" s="39">
        <v>2012</v>
      </c>
      <c r="B46" s="41">
        <f t="shared" si="6"/>
        <v>271410</v>
      </c>
      <c r="C46" s="42">
        <f t="shared" si="7"/>
        <v>20034</v>
      </c>
      <c r="D46" s="42">
        <f t="shared" si="8"/>
        <v>162631</v>
      </c>
      <c r="E46" s="43">
        <f t="shared" si="9"/>
        <v>2227722</v>
      </c>
      <c r="F46" s="42">
        <f t="shared" si="10"/>
        <v>1257858.5810331493</v>
      </c>
      <c r="I46" s="39">
        <v>397.3</v>
      </c>
      <c r="J46" s="39">
        <v>2012</v>
      </c>
      <c r="K46" s="51">
        <f>Table3[[#This Row],[Seyðisfjarðarkaupstaður]]*$I$35/I46</f>
        <v>320117.60885980364</v>
      </c>
      <c r="L46" s="51">
        <f>Table3[[#This Row],[Fljótsdalshreppur]]*$I$35/I46</f>
        <v>23629.328970551222</v>
      </c>
      <c r="M46" s="51">
        <f>Table3[[#This Row],[Djúpavogshreppur]]*$I$35/I46</f>
        <v>191816.98112257742</v>
      </c>
      <c r="N46" s="51">
        <f>Table3[[#This Row],[Fjarðabyggð]]*$I$35/I46</f>
        <v>2627512.0291970805</v>
      </c>
      <c r="O46" s="51">
        <f>Table3[[#This Row],[Fljótsdalshérað]]*$I$35/I46</f>
        <v>1483595.5979666091</v>
      </c>
    </row>
    <row r="47" spans="1:15">
      <c r="A47" s="39">
        <v>2013</v>
      </c>
      <c r="B47" s="41">
        <f t="shared" si="6"/>
        <v>281973.85858011048</v>
      </c>
      <c r="C47" s="42">
        <f t="shared" si="7"/>
        <v>23059.722063636364</v>
      </c>
      <c r="D47" s="42">
        <f t="shared" si="8"/>
        <v>164091.54412430941</v>
      </c>
      <c r="E47" s="43">
        <f t="shared" si="9"/>
        <v>2318156</v>
      </c>
      <c r="F47" s="42">
        <f t="shared" si="10"/>
        <v>1338617.9675303868</v>
      </c>
      <c r="I47" s="39">
        <v>412.7</v>
      </c>
      <c r="J47" s="39">
        <v>2013</v>
      </c>
      <c r="K47" s="51">
        <f>Table3[[#This Row],[Seyðisfjarðarkaupstaður]]*$I$35/I47</f>
        <v>320167.07082781626</v>
      </c>
      <c r="L47" s="51">
        <f>Table3[[#This Row],[Fljótsdalshreppur]]*$I$35/I47</f>
        <v>26183.149403973832</v>
      </c>
      <c r="M47" s="51">
        <f>Table3[[#This Row],[Djúpavogshreppur]]*$I$35/I47</f>
        <v>186317.65829089264</v>
      </c>
      <c r="N47" s="51">
        <f>Table3[[#This Row],[Fjarðabyggð]]*$I$35/I47</f>
        <v>2632149.0225345292</v>
      </c>
      <c r="O47" s="51">
        <f>Table3[[#This Row],[Fljótsdalshérað]]*$I$35/I47</f>
        <v>1519933.0738665841</v>
      </c>
    </row>
    <row r="48" spans="1:15">
      <c r="A48" s="39">
        <v>2014</v>
      </c>
      <c r="B48" s="41">
        <f t="shared" si="6"/>
        <v>295460</v>
      </c>
      <c r="C48" s="42">
        <f t="shared" si="7"/>
        <v>27965</v>
      </c>
      <c r="D48" s="42">
        <f t="shared" si="8"/>
        <v>184537</v>
      </c>
      <c r="E48" s="43">
        <f t="shared" si="9"/>
        <v>2429369</v>
      </c>
      <c r="F48" s="42">
        <f t="shared" si="10"/>
        <v>1410878</v>
      </c>
      <c r="I48" s="39">
        <v>421.1</v>
      </c>
      <c r="J48" s="39">
        <v>2014</v>
      </c>
      <c r="K48" s="51">
        <f>Table3[[#This Row],[Seyðisfjarðarkaupstaður]]*$I$35/I48</f>
        <v>328787.83186891471</v>
      </c>
      <c r="L48" s="51">
        <f>Table3[[#This Row],[Fljótsdalshreppur]]*$I$35/I48</f>
        <v>31119.446687247684</v>
      </c>
      <c r="M48" s="51">
        <f>Table3[[#This Row],[Djúpavogshreppur]]*$I$35/I48</f>
        <v>205352.73854191403</v>
      </c>
      <c r="N48" s="51">
        <f>Table3[[#This Row],[Fjarðabyggð]]*$I$35/I48</f>
        <v>2703401.3616718119</v>
      </c>
      <c r="O48" s="51">
        <f>Table3[[#This Row],[Fljótsdalshérað]]*$I$35/I48</f>
        <v>1570024.7703633341</v>
      </c>
    </row>
    <row r="49" spans="1:15">
      <c r="A49" s="39">
        <v>2015</v>
      </c>
      <c r="B49" s="41">
        <f t="shared" si="6"/>
        <v>312038.08863636362</v>
      </c>
      <c r="C49" s="42">
        <f t="shared" si="7"/>
        <v>27754.168000000001</v>
      </c>
      <c r="D49" s="42">
        <f t="shared" si="8"/>
        <v>182971.962</v>
      </c>
      <c r="E49" s="43">
        <f t="shared" si="9"/>
        <v>2599272</v>
      </c>
      <c r="F49" s="42">
        <f t="shared" si="10"/>
        <v>1484773.205757576</v>
      </c>
      <c r="I49" s="50">
        <v>428</v>
      </c>
      <c r="J49" s="39">
        <v>2015</v>
      </c>
      <c r="K49" s="51">
        <f>Table3[[#This Row],[Seyðisfjarðarkaupstaður]]*$I$35/I49</f>
        <v>341637.96339953272</v>
      </c>
      <c r="L49" s="51">
        <f>Table3[[#This Row],[Fljótsdalshreppur]]*$I$35/I49</f>
        <v>30386.923188785051</v>
      </c>
      <c r="M49" s="51">
        <f>Table3[[#This Row],[Djúpavogshreppur]]*$I$35/I49</f>
        <v>200328.64811495331</v>
      </c>
      <c r="N49" s="51">
        <f>Table3[[#This Row],[Fjarðabyggð]]*$I$35/I49</f>
        <v>2845838.4560747663</v>
      </c>
      <c r="O49" s="51">
        <f>Table3[[#This Row],[Fljótsdalshérað]]*$I$35/I49</f>
        <v>1625618.5145280377</v>
      </c>
    </row>
    <row r="50" spans="1:15">
      <c r="A50" s="39">
        <v>2016</v>
      </c>
      <c r="B50" s="41">
        <f t="shared" si="6"/>
        <v>332093.67100000003</v>
      </c>
      <c r="C50" s="42">
        <f t="shared" si="7"/>
        <v>32751.54</v>
      </c>
      <c r="D50" s="42">
        <f t="shared" si="8"/>
        <v>200434.86800000002</v>
      </c>
      <c r="E50" s="43">
        <f t="shared" si="9"/>
        <v>2682505</v>
      </c>
      <c r="F50" s="42">
        <f t="shared" si="10"/>
        <v>1649092.659</v>
      </c>
      <c r="I50" s="52">
        <v>435.3</v>
      </c>
      <c r="J50" s="52">
        <v>2016</v>
      </c>
      <c r="K50" s="51">
        <f>Table3[[#This Row],[Seyðisfjarðarkaupstaður]]*$I$35/I50</f>
        <v>357498.49352308759</v>
      </c>
      <c r="L50" s="51">
        <f>Table3[[#This Row],[Fljótsdalshreppur]]*$I$35/I50</f>
        <v>35256.998952446593</v>
      </c>
      <c r="M50" s="51">
        <f>Table3[[#This Row],[Djúpavogshreppur]]*$I$35/I50</f>
        <v>215767.9281984838</v>
      </c>
      <c r="N50" s="51">
        <f>Table3[[#This Row],[Fjarðabyggð]]*$I$35/I50</f>
        <v>2887713.8594073053</v>
      </c>
      <c r="O50" s="51">
        <f>Table3[[#This Row],[Fljótsdalshérað]]*$I$35/I50</f>
        <v>1775246.5426312888</v>
      </c>
    </row>
    <row r="51" spans="1:15">
      <c r="A51" s="39">
        <v>2017</v>
      </c>
      <c r="B51" s="41">
        <f t="shared" si="6"/>
        <v>353312.88700000005</v>
      </c>
      <c r="C51" s="42">
        <f t="shared" si="7"/>
        <v>35144.137999999999</v>
      </c>
      <c r="D51" s="42">
        <f t="shared" si="8"/>
        <v>225638.96899999998</v>
      </c>
      <c r="E51" s="43">
        <f t="shared" si="9"/>
        <v>2846951</v>
      </c>
      <c r="F51" s="42">
        <f t="shared" si="10"/>
        <v>1796979.0129999998</v>
      </c>
      <c r="I51" s="52">
        <v>443</v>
      </c>
      <c r="J51" s="52">
        <v>2017</v>
      </c>
      <c r="K51" s="51">
        <f>Table3[[#This Row],[Seyðisfjarðarkaupstaður]]*$I$35/I51</f>
        <v>373730.06512009032</v>
      </c>
      <c r="L51" s="51">
        <f>Table3[[#This Row],[Fljótsdalshreppur]]*$I$35/I51</f>
        <v>37175.040782844248</v>
      </c>
      <c r="M51" s="51">
        <f>Table3[[#This Row],[Djúpavogshreppur]]*$I$35/I51</f>
        <v>238678.15095575622</v>
      </c>
      <c r="N51" s="51">
        <f>Table3[[#This Row],[Fjarðabyggð]]*$I$35/I51</f>
        <v>3011470.0645598196</v>
      </c>
      <c r="O51" s="51">
        <f>Table3[[#This Row],[Fljótsdalshérað]]*$I$35/I51</f>
        <v>1900822.4954668169</v>
      </c>
    </row>
    <row r="52" spans="1:15">
      <c r="A52" s="39">
        <v>2018</v>
      </c>
      <c r="B52" s="41">
        <f t="shared" si="6"/>
        <v>391192.27396969701</v>
      </c>
      <c r="C52" s="42">
        <f t="shared" si="7"/>
        <v>35927.311333333331</v>
      </c>
      <c r="D52" s="42">
        <f t="shared" si="8"/>
        <v>241357.20151515148</v>
      </c>
      <c r="E52" s="43">
        <f t="shared" si="9"/>
        <v>3071148.5776363635</v>
      </c>
      <c r="F52" s="42">
        <f t="shared" si="10"/>
        <v>1903716.0533939395</v>
      </c>
      <c r="I52" s="52">
        <v>454.8</v>
      </c>
      <c r="J52" s="52">
        <v>2018</v>
      </c>
      <c r="K52" s="51">
        <f>Table3[[#This Row],[Seyðisfjarðarkaupstaður]]*$I$35/I52</f>
        <v>403062.22423526831</v>
      </c>
      <c r="L52" s="51">
        <f>Table3[[#This Row],[Fljótsdalshreppur]]*$I$35/I52</f>
        <v>37017.454025505715</v>
      </c>
      <c r="M52" s="51">
        <f>Table3[[#This Row],[Djúpavogshreppur]]*$I$35/I52</f>
        <v>248680.7049912049</v>
      </c>
      <c r="N52" s="51">
        <f>Table3[[#This Row],[Fjarðabyggð]]*$I$35/I52</f>
        <v>3164336.4632374672</v>
      </c>
      <c r="O52" s="51">
        <f>Table3[[#This Row],[Fljótsdalshérað]]*$I$35/I52</f>
        <v>1961480.5246710642</v>
      </c>
    </row>
    <row r="53" spans="1:15">
      <c r="A53" s="39">
        <v>2019</v>
      </c>
      <c r="B53" s="41">
        <f t="shared" si="6"/>
        <v>399903.6911818182</v>
      </c>
      <c r="C53" s="42">
        <f t="shared" si="7"/>
        <v>42537.638866666668</v>
      </c>
      <c r="D53" s="42">
        <f t="shared" si="8"/>
        <v>268253.81130303029</v>
      </c>
      <c r="E53" s="43">
        <f t="shared" si="9"/>
        <v>3195497.654787879</v>
      </c>
      <c r="F53" s="42">
        <f t="shared" si="10"/>
        <v>2004413.8070606063</v>
      </c>
      <c r="I53" s="1">
        <v>468.6</v>
      </c>
      <c r="J53" s="52">
        <v>2019</v>
      </c>
      <c r="K53" s="51">
        <f>Table3[[#This Row],[Seyðisfjarðarkaupstaður]]*$I$35/I53</f>
        <v>399903.6911818182</v>
      </c>
      <c r="L53" s="51">
        <f>Table3[[#This Row],[Fljótsdalshreppur]]*$I$35/I53</f>
        <v>42537.638866666668</v>
      </c>
      <c r="M53" s="51">
        <f>Table3[[#This Row],[Djúpavogshreppur]]*$I$35/I53</f>
        <v>268253.81130303029</v>
      </c>
      <c r="N53" s="51">
        <f>Table3[[#This Row],[Fjarðabyggð]]*$I$35/I53</f>
        <v>3195497.654787879</v>
      </c>
      <c r="O53" s="51">
        <f>Table3[[#This Row],[Fljótsdalshérað]]*$I$35/I53</f>
        <v>2004413.8070606063</v>
      </c>
    </row>
    <row r="56" spans="1:15">
      <c r="B56" s="54"/>
    </row>
    <row r="57" spans="1:15">
      <c r="B57" s="54"/>
    </row>
    <row r="63" spans="1:15" ht="15.75" thickBot="1">
      <c r="C63" s="1" t="s">
        <v>236</v>
      </c>
    </row>
    <row r="64" spans="1:15" ht="15.75" thickBot="1">
      <c r="A64" s="49" t="s">
        <v>233</v>
      </c>
      <c r="B64" s="53"/>
      <c r="C64" s="117" t="s">
        <v>237</v>
      </c>
      <c r="D64" s="118"/>
      <c r="E64" s="118"/>
      <c r="F64" s="118"/>
      <c r="G64" s="119"/>
    </row>
    <row r="65" spans="1:7">
      <c r="A65" s="39" t="s">
        <v>238</v>
      </c>
      <c r="B65" s="39" t="s">
        <v>216</v>
      </c>
      <c r="C65" s="55" t="s">
        <v>215</v>
      </c>
      <c r="D65" s="55" t="s">
        <v>158</v>
      </c>
      <c r="E65" s="55" t="s">
        <v>162</v>
      </c>
      <c r="F65" s="55" t="s">
        <v>154</v>
      </c>
      <c r="G65" s="55" t="s">
        <v>164</v>
      </c>
    </row>
    <row r="66" spans="1:7">
      <c r="A66" s="39">
        <v>244.1</v>
      </c>
      <c r="B66" s="40">
        <v>2005</v>
      </c>
      <c r="C66" s="56">
        <v>471673.21149245312</v>
      </c>
      <c r="D66" s="56">
        <v>783212.28948653</v>
      </c>
      <c r="E66" s="56">
        <v>439082.18102681811</v>
      </c>
      <c r="F66" s="56">
        <v>485450.93782728666</v>
      </c>
      <c r="G66" s="56">
        <v>556974.80120959657</v>
      </c>
    </row>
    <row r="67" spans="1:7">
      <c r="A67" s="39">
        <v>260.60000000000002</v>
      </c>
      <c r="B67" s="40">
        <v>2006</v>
      </c>
      <c r="C67" s="56">
        <v>482030.1991526229</v>
      </c>
      <c r="D67" s="56">
        <v>685787.38544052758</v>
      </c>
      <c r="E67" s="56">
        <v>453634.53584600415</v>
      </c>
      <c r="F67" s="56">
        <v>655472.41035602312</v>
      </c>
      <c r="G67" s="56">
        <v>556643.05932146253</v>
      </c>
    </row>
    <row r="68" spans="1:7">
      <c r="A68" s="39">
        <v>273.7</v>
      </c>
      <c r="B68" s="40">
        <v>2007</v>
      </c>
      <c r="C68" s="56">
        <v>502001.76977810805</v>
      </c>
      <c r="D68" s="56">
        <v>967368.65112573898</v>
      </c>
      <c r="E68" s="56">
        <v>475115.00558762637</v>
      </c>
      <c r="F68" s="56">
        <v>844084.84003583563</v>
      </c>
      <c r="G68" s="56">
        <v>649653.33946811571</v>
      </c>
    </row>
    <row r="69" spans="1:7">
      <c r="A69" s="39">
        <v>307.7</v>
      </c>
      <c r="B69" s="40">
        <v>2008</v>
      </c>
      <c r="C69" s="56">
        <v>492759.72858963045</v>
      </c>
      <c r="D69" s="56">
        <v>1427735.1153221172</v>
      </c>
      <c r="E69" s="56">
        <v>455709.54035885952</v>
      </c>
      <c r="F69" s="56">
        <v>601975.30345722695</v>
      </c>
      <c r="G69" s="56">
        <v>504846.24273500266</v>
      </c>
    </row>
    <row r="70" spans="1:7">
      <c r="A70" s="39">
        <v>344.6</v>
      </c>
      <c r="B70" s="40">
        <v>2009</v>
      </c>
      <c r="C70" s="56">
        <v>481001.02681106637</v>
      </c>
      <c r="D70" s="56">
        <v>439246.06955467019</v>
      </c>
      <c r="E70" s="56">
        <v>422579.03889359685</v>
      </c>
      <c r="F70" s="56">
        <v>510075.33865530777</v>
      </c>
      <c r="G70" s="56">
        <v>446790.1697612892</v>
      </c>
    </row>
    <row r="71" spans="1:7">
      <c r="A71" s="39">
        <v>363.2</v>
      </c>
      <c r="B71" s="40">
        <v>2010</v>
      </c>
      <c r="C71" s="56">
        <v>457596.80115465913</v>
      </c>
      <c r="D71" s="56">
        <v>360795.18209446274</v>
      </c>
      <c r="E71" s="56">
        <v>413335.86418836529</v>
      </c>
      <c r="F71" s="56">
        <v>495590.21045822167</v>
      </c>
      <c r="G71" s="56">
        <v>411586.10774100386</v>
      </c>
    </row>
    <row r="72" spans="1:7">
      <c r="A72" s="39">
        <v>377.7</v>
      </c>
      <c r="B72" s="40">
        <v>2011</v>
      </c>
      <c r="C72" s="56">
        <v>516400.29388403491</v>
      </c>
      <c r="D72" s="56">
        <v>355885.77460512164</v>
      </c>
      <c r="E72" s="56">
        <v>458241.67736401578</v>
      </c>
      <c r="F72" s="56">
        <v>580178.63216092566</v>
      </c>
      <c r="G72" s="56">
        <v>473419.41990313691</v>
      </c>
    </row>
    <row r="73" spans="1:7">
      <c r="A73" s="39">
        <v>397.3</v>
      </c>
      <c r="B73" s="40">
        <v>2012</v>
      </c>
      <c r="C73" s="56">
        <v>521554.28218581935</v>
      </c>
      <c r="D73" s="56">
        <v>329621.26525295747</v>
      </c>
      <c r="E73" s="56">
        <v>467394.75395423529</v>
      </c>
      <c r="F73" s="56">
        <v>583501.88391166262</v>
      </c>
      <c r="G73" s="56">
        <v>475829.43531681009</v>
      </c>
    </row>
    <row r="74" spans="1:7">
      <c r="A74" s="39">
        <v>412.7</v>
      </c>
      <c r="B74" s="40">
        <v>2013</v>
      </c>
      <c r="C74" s="56">
        <v>530262.69731221697</v>
      </c>
      <c r="D74" s="56">
        <v>429697.85531435744</v>
      </c>
      <c r="E74" s="56">
        <v>436608.53224793653</v>
      </c>
      <c r="F74" s="56">
        <v>577688.48461950128</v>
      </c>
      <c r="G74" s="56">
        <v>483401.54382446274</v>
      </c>
    </row>
    <row r="75" spans="1:7">
      <c r="A75" s="39">
        <v>421.1</v>
      </c>
      <c r="B75" s="40">
        <v>2014</v>
      </c>
      <c r="C75" s="56">
        <v>556079.39276953856</v>
      </c>
      <c r="D75" s="56">
        <v>464655.98005224409</v>
      </c>
      <c r="E75" s="56">
        <v>537431.70575371874</v>
      </c>
      <c r="F75" s="56">
        <v>586079.92335153802</v>
      </c>
      <c r="G75" s="56">
        <v>502016.7818184293</v>
      </c>
    </row>
    <row r="76" spans="1:7">
      <c r="A76" s="50">
        <v>428</v>
      </c>
      <c r="B76" s="40">
        <v>2015</v>
      </c>
      <c r="C76" s="56">
        <v>573421.99105900072</v>
      </c>
      <c r="D76" s="56">
        <v>459855.18413740851</v>
      </c>
      <c r="E76" s="56">
        <v>485190.54750368913</v>
      </c>
      <c r="F76" s="56">
        <v>624507.00227703108</v>
      </c>
      <c r="G76" s="56">
        <v>521453.66947158129</v>
      </c>
    </row>
    <row r="77" spans="1:7">
      <c r="A77" s="39">
        <v>435.3</v>
      </c>
      <c r="B77" s="40">
        <v>2016</v>
      </c>
      <c r="C77" s="57">
        <v>607428.23264592059</v>
      </c>
      <c r="D77" s="57">
        <v>487445.88511967059</v>
      </c>
      <c r="E77" s="56">
        <v>527208.70320133201</v>
      </c>
      <c r="F77" s="56">
        <v>632557.5977313777</v>
      </c>
      <c r="G77" s="56">
        <v>561298.91602442856</v>
      </c>
    </row>
    <row r="78" spans="1:7">
      <c r="A78" s="39">
        <v>443</v>
      </c>
      <c r="B78" s="40">
        <v>2017</v>
      </c>
      <c r="C78" s="57">
        <v>610584.04873041541</v>
      </c>
      <c r="D78" s="57">
        <v>547777.19226565282</v>
      </c>
      <c r="E78" s="56">
        <v>571802.23999255709</v>
      </c>
      <c r="F78" s="56">
        <v>648774.52431181259</v>
      </c>
      <c r="G78" s="56">
        <v>591853.86528125068</v>
      </c>
    </row>
    <row r="79" spans="1:7">
      <c r="A79" s="50">
        <v>454.8</v>
      </c>
      <c r="B79" s="40">
        <v>2018</v>
      </c>
      <c r="C79" s="57">
        <f>C22*1000/Frumgögn!D167</f>
        <v>664325.28613138688</v>
      </c>
      <c r="D79" s="57">
        <f>F22*1000/Frumgögn!D170</f>
        <v>663268.79729729728</v>
      </c>
      <c r="E79" s="56">
        <f>I22*1000/Frumgögn!D172</f>
        <v>646725.29025423725</v>
      </c>
      <c r="F79" s="56">
        <f>(L22*1000)/Frumgögn!D168</f>
        <v>717210.24694280082</v>
      </c>
      <c r="G79" s="56">
        <f>(O22*1000)/Frumgögn!D173</f>
        <v>633579.07694444444</v>
      </c>
    </row>
  </sheetData>
  <mergeCells count="9">
    <mergeCell ref="A1:J1"/>
    <mergeCell ref="A34:F34"/>
    <mergeCell ref="K34:O34"/>
    <mergeCell ref="C64:G64"/>
    <mergeCell ref="B3:D3"/>
    <mergeCell ref="E3:G3"/>
    <mergeCell ref="H3:J3"/>
    <mergeCell ref="K3:M3"/>
    <mergeCell ref="N3:P3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 r:id="rId2"/>
  <legacyDrawingHF r:id="rId3"/>
  <tableParts count="4"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53"/>
  <sheetViews>
    <sheetView tabSelected="1" topLeftCell="A15" zoomScaleNormal="100" workbookViewId="0">
      <selection activeCell="D53" sqref="B36:D53"/>
    </sheetView>
  </sheetViews>
  <sheetFormatPr defaultColWidth="9.28515625" defaultRowHeight="15"/>
  <cols>
    <col min="1" max="1" width="9.28515625" style="1"/>
    <col min="2" max="2" width="18.140625" style="1" customWidth="1"/>
    <col min="3" max="3" width="14.5703125" style="1" customWidth="1"/>
    <col min="4" max="4" width="13.7109375" style="1" customWidth="1"/>
    <col min="5" max="13" width="9.28515625" style="1"/>
    <col min="14" max="14" width="12.7109375" style="1" customWidth="1"/>
    <col min="15" max="15" width="12.42578125" style="1" customWidth="1"/>
    <col min="16" max="16" width="18.140625" style="1" customWidth="1"/>
    <col min="17" max="16384" width="9.28515625" style="1"/>
  </cols>
  <sheetData>
    <row r="1" spans="1:26" s="4" customFormat="1" ht="21">
      <c r="A1" s="6" t="str">
        <f>Frumgögn!A1</f>
        <v>3.2.1 - Útsvarstekjur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 t="str">
        <f>Frumgögn!A1</f>
        <v>3.2.1 - Útsvarstekjur</v>
      </c>
      <c r="N1" s="112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>
      <c r="A2" s="120"/>
      <c r="B2" s="120"/>
      <c r="C2" s="120"/>
      <c r="D2" s="120"/>
      <c r="E2" s="120"/>
      <c r="F2" s="120"/>
      <c r="G2" s="120"/>
      <c r="H2" s="120"/>
      <c r="I2" s="120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>
      <c r="A3" s="3"/>
      <c r="D3" s="3"/>
      <c r="E3" s="3"/>
      <c r="K3" s="3"/>
      <c r="L3" s="3"/>
      <c r="M3" s="3"/>
    </row>
    <row r="4" spans="1:26" ht="15" customHeight="1">
      <c r="A4" s="1" t="s">
        <v>216</v>
      </c>
      <c r="B4" s="1" t="s">
        <v>154</v>
      </c>
      <c r="C4" s="1" t="s">
        <v>164</v>
      </c>
      <c r="M4" s="1" t="s">
        <v>216</v>
      </c>
      <c r="N4" s="1" t="s">
        <v>154</v>
      </c>
      <c r="O4" s="1" t="s">
        <v>164</v>
      </c>
    </row>
    <row r="5" spans="1:26" ht="15" customHeight="1">
      <c r="A5" s="1">
        <v>2002</v>
      </c>
      <c r="B5" s="121">
        <f>Úrvinnsla!N36</f>
        <v>1861842.9514824799</v>
      </c>
      <c r="C5" s="121">
        <f>Úrvinnsla!O36</f>
        <v>963901.35849056614</v>
      </c>
      <c r="M5" s="1">
        <v>2002</v>
      </c>
      <c r="N5" s="54">
        <f>Úrvinnsla!E36</f>
        <v>884435</v>
      </c>
      <c r="O5" s="54">
        <f>Úrvinnsla!F36</f>
        <v>457884</v>
      </c>
    </row>
    <row r="6" spans="1:26">
      <c r="A6" s="1">
        <v>2003</v>
      </c>
      <c r="B6" s="121">
        <f>Úrvinnsla!N37</f>
        <v>1890241.2776066873</v>
      </c>
      <c r="C6" s="121">
        <f>Úrvinnsla!O37</f>
        <v>1247467.6260448748</v>
      </c>
      <c r="M6" s="1">
        <v>2003</v>
      </c>
      <c r="N6" s="54">
        <f>Úrvinnsla!E37</f>
        <v>916884</v>
      </c>
      <c r="O6" s="54">
        <f>Úrvinnsla!F37</f>
        <v>605099</v>
      </c>
    </row>
    <row r="7" spans="1:26">
      <c r="A7" s="1">
        <v>2004</v>
      </c>
      <c r="B7" s="121">
        <f>Úrvinnsla!N38</f>
        <v>1998648.9104859338</v>
      </c>
      <c r="C7" s="121">
        <f>Úrvinnsla!O38</f>
        <v>2120381.0434782607</v>
      </c>
      <c r="M7" s="1">
        <v>2004</v>
      </c>
      <c r="N7" s="54">
        <f>Úrvinnsla!E38</f>
        <v>1000604</v>
      </c>
      <c r="O7" s="54">
        <f>Úrvinnsla!F38</f>
        <v>1061548</v>
      </c>
    </row>
    <row r="8" spans="1:26">
      <c r="A8" s="1">
        <v>2005</v>
      </c>
      <c r="B8" s="121">
        <f>Úrvinnsla!N39</f>
        <v>2388852.1548545677</v>
      </c>
      <c r="C8" s="121">
        <f>Úrvinnsla!O39</f>
        <v>2108552.1827120036</v>
      </c>
      <c r="M8" s="1">
        <v>2005</v>
      </c>
      <c r="N8" s="54">
        <f>Úrvinnsla!E39</f>
        <v>1244385</v>
      </c>
      <c r="O8" s="54">
        <f>Úrvinnsla!F39</f>
        <v>1098373</v>
      </c>
    </row>
    <row r="9" spans="1:26">
      <c r="A9" s="1">
        <v>2006</v>
      </c>
      <c r="B9" s="121">
        <f>Úrvinnsla!N40</f>
        <v>3780300.1335379891</v>
      </c>
      <c r="C9" s="121">
        <f>Úrvinnsla!O40</f>
        <v>2506091.1412125858</v>
      </c>
      <c r="M9" s="1">
        <v>2006</v>
      </c>
      <c r="N9" s="54">
        <f>Úrvinnsla!E40</f>
        <v>2102318</v>
      </c>
      <c r="O9" s="54">
        <f>Úrvinnsla!F40</f>
        <v>1393699</v>
      </c>
    </row>
    <row r="10" spans="1:26">
      <c r="A10" s="1">
        <v>2007</v>
      </c>
      <c r="B10" s="121">
        <f>Úrvinnsla!N41</f>
        <v>4360734.7584947031</v>
      </c>
      <c r="C10" s="121">
        <f>Úrvinnsla!O41</f>
        <v>2565216.0438436246</v>
      </c>
      <c r="M10" s="1">
        <v>2007</v>
      </c>
      <c r="N10" s="54">
        <f>Úrvinnsla!E41</f>
        <v>2547019</v>
      </c>
      <c r="O10" s="54">
        <f>Úrvinnsla!F41</f>
        <v>1498292</v>
      </c>
    </row>
    <row r="11" spans="1:26">
      <c r="A11" s="1">
        <v>2008</v>
      </c>
      <c r="B11" s="121">
        <f>Úrvinnsla!N42</f>
        <v>2878841.1303217425</v>
      </c>
      <c r="C11" s="121">
        <f>Úrvinnsla!O42</f>
        <v>1814301.3266168348</v>
      </c>
      <c r="M11" s="1">
        <v>2008</v>
      </c>
      <c r="N11" s="54">
        <f>Úrvinnsla!E42</f>
        <v>1890353</v>
      </c>
      <c r="O11" s="54">
        <f>Úrvinnsla!F42</f>
        <v>1191337</v>
      </c>
    </row>
    <row r="12" spans="1:26">
      <c r="A12" s="1">
        <v>2009</v>
      </c>
      <c r="B12" s="121">
        <f>Úrvinnsla!N43</f>
        <v>2481435.5362739409</v>
      </c>
      <c r="C12" s="121">
        <f>Úrvinnsla!O43</f>
        <v>1502614.9901334881</v>
      </c>
      <c r="M12" s="1">
        <v>2009</v>
      </c>
      <c r="N12" s="54">
        <f>Úrvinnsla!E43</f>
        <v>1824803</v>
      </c>
      <c r="O12" s="54">
        <f>Úrvinnsla!F43</f>
        <v>1104996</v>
      </c>
    </row>
    <row r="13" spans="1:26">
      <c r="A13" s="1">
        <v>2010</v>
      </c>
      <c r="B13" s="121">
        <f>Úrvinnsla!N44</f>
        <v>2373252.5682819388</v>
      </c>
      <c r="C13" s="121">
        <f>Úrvinnsla!O44</f>
        <v>1360649.5126651982</v>
      </c>
      <c r="M13" s="1">
        <v>2010</v>
      </c>
      <c r="N13" s="54">
        <f>Úrvinnsla!E44</f>
        <v>1839448</v>
      </c>
      <c r="O13" s="54">
        <f>Úrvinnsla!F44</f>
        <v>1054605</v>
      </c>
    </row>
    <row r="14" spans="1:26">
      <c r="A14" s="1">
        <v>2011</v>
      </c>
      <c r="B14" s="121">
        <f>Úrvinnsla!N45</f>
        <v>2600341.6711675934</v>
      </c>
      <c r="C14" s="121">
        <f>Úrvinnsla!O45</f>
        <v>1463185.8204924543</v>
      </c>
      <c r="M14" s="1">
        <v>2011</v>
      </c>
      <c r="N14" s="54">
        <f>Úrvinnsla!E45</f>
        <v>2095922</v>
      </c>
      <c r="O14" s="54">
        <f>Úrvinnsla!F45</f>
        <v>1179354</v>
      </c>
    </row>
    <row r="15" spans="1:26">
      <c r="A15" s="1">
        <v>2012</v>
      </c>
      <c r="B15" s="121">
        <f>Úrvinnsla!N46</f>
        <v>2627512.0291970805</v>
      </c>
      <c r="C15" s="121">
        <f>Úrvinnsla!O46</f>
        <v>1483595.5979666091</v>
      </c>
      <c r="M15" s="1">
        <v>2012</v>
      </c>
      <c r="N15" s="54">
        <f>Úrvinnsla!E46</f>
        <v>2227722</v>
      </c>
      <c r="O15" s="54">
        <f>Úrvinnsla!F46</f>
        <v>1257858.5810331493</v>
      </c>
    </row>
    <row r="16" spans="1:26">
      <c r="A16" s="1">
        <v>2013</v>
      </c>
      <c r="B16" s="121">
        <f>Úrvinnsla!N47</f>
        <v>2632149.0225345292</v>
      </c>
      <c r="C16" s="121">
        <f>Úrvinnsla!O47</f>
        <v>1519933.0738665841</v>
      </c>
      <c r="M16" s="1">
        <v>2013</v>
      </c>
      <c r="N16" s="54">
        <f>Úrvinnsla!E47</f>
        <v>2318156</v>
      </c>
      <c r="O16" s="54">
        <f>Úrvinnsla!F47</f>
        <v>1338617.9675303868</v>
      </c>
    </row>
    <row r="17" spans="1:15">
      <c r="A17" s="1">
        <v>2014</v>
      </c>
      <c r="B17" s="121">
        <f>Úrvinnsla!N48</f>
        <v>2703401.3616718119</v>
      </c>
      <c r="C17" s="121">
        <f>Úrvinnsla!O48</f>
        <v>1570024.7703633341</v>
      </c>
      <c r="M17" s="1">
        <v>2014</v>
      </c>
      <c r="N17" s="54">
        <f>Úrvinnsla!E48</f>
        <v>2429369</v>
      </c>
      <c r="O17" s="54">
        <f>Úrvinnsla!F48</f>
        <v>1410878</v>
      </c>
    </row>
    <row r="18" spans="1:15">
      <c r="A18" s="1">
        <v>2015</v>
      </c>
      <c r="B18" s="121">
        <f>Úrvinnsla!N49</f>
        <v>2845838.4560747663</v>
      </c>
      <c r="C18" s="121">
        <f>Úrvinnsla!O49</f>
        <v>1625618.5145280377</v>
      </c>
      <c r="M18" s="1">
        <v>2015</v>
      </c>
      <c r="N18" s="54">
        <f>Úrvinnsla!E49</f>
        <v>2599272</v>
      </c>
      <c r="O18" s="54">
        <f>Úrvinnsla!F49</f>
        <v>1484773.205757576</v>
      </c>
    </row>
    <row r="19" spans="1:15">
      <c r="A19" s="1">
        <v>2016</v>
      </c>
      <c r="B19" s="121">
        <f>Úrvinnsla!N50</f>
        <v>2887713.8594073053</v>
      </c>
      <c r="C19" s="121">
        <f>Úrvinnsla!O50</f>
        <v>1775246.5426312888</v>
      </c>
      <c r="M19" s="1">
        <v>2016</v>
      </c>
      <c r="N19" s="54">
        <f>Úrvinnsla!E50</f>
        <v>2682505</v>
      </c>
      <c r="O19" s="54">
        <f>Úrvinnsla!F50</f>
        <v>1649092.659</v>
      </c>
    </row>
    <row r="20" spans="1:15">
      <c r="A20" s="1">
        <v>2017</v>
      </c>
      <c r="B20" s="121">
        <f>Úrvinnsla!N51</f>
        <v>3011470.0645598196</v>
      </c>
      <c r="C20" s="121">
        <f>Úrvinnsla!O51</f>
        <v>1900822.4954668169</v>
      </c>
      <c r="M20" s="1">
        <v>2017</v>
      </c>
      <c r="N20" s="54">
        <f>Úrvinnsla!E51</f>
        <v>2846951</v>
      </c>
      <c r="O20" s="54">
        <f>Úrvinnsla!F51</f>
        <v>1796979.0129999998</v>
      </c>
    </row>
    <row r="21" spans="1:15">
      <c r="A21" s="1">
        <v>2018</v>
      </c>
      <c r="B21" s="121">
        <f>Úrvinnsla!N52</f>
        <v>3164336.4632374672</v>
      </c>
      <c r="C21" s="121">
        <f>Úrvinnsla!O52</f>
        <v>1961480.5246710642</v>
      </c>
      <c r="M21" s="1">
        <v>2018</v>
      </c>
      <c r="N21" s="54">
        <f>Úrvinnsla!E52</f>
        <v>3071148.5776363635</v>
      </c>
      <c r="O21" s="54">
        <f>Úrvinnsla!F52</f>
        <v>1903716.0533939395</v>
      </c>
    </row>
    <row r="22" spans="1:15">
      <c r="A22" s="1">
        <v>2019</v>
      </c>
      <c r="B22" s="121">
        <f>Úrvinnsla!N53</f>
        <v>3195497.654787879</v>
      </c>
      <c r="C22" s="121">
        <f>Úrvinnsla!O53</f>
        <v>2004413.8070606063</v>
      </c>
      <c r="M22" s="1">
        <v>2019</v>
      </c>
      <c r="N22" s="54">
        <f>Úrvinnsla!E53</f>
        <v>3195497.654787879</v>
      </c>
      <c r="O22" s="54">
        <f>Úrvinnsla!F53</f>
        <v>2004413.8070606063</v>
      </c>
    </row>
    <row r="35" spans="1:16">
      <c r="A35" s="1" t="s">
        <v>216</v>
      </c>
      <c r="B35" s="1" t="s">
        <v>152</v>
      </c>
      <c r="C35" s="1" t="s">
        <v>158</v>
      </c>
      <c r="D35" s="1" t="s">
        <v>162</v>
      </c>
      <c r="M35" s="1" t="s">
        <v>216</v>
      </c>
      <c r="N35" s="1" t="s">
        <v>152</v>
      </c>
      <c r="O35" s="1" t="s">
        <v>158</v>
      </c>
      <c r="P35" s="1" t="s">
        <v>162</v>
      </c>
    </row>
    <row r="36" spans="1:16">
      <c r="A36" s="1">
        <v>2002</v>
      </c>
      <c r="B36" s="121">
        <f>Table4[[#This Row],[Seyðisfjarðarkaupstaður]]</f>
        <v>304636.31266846362</v>
      </c>
      <c r="C36" s="121">
        <f>Table4[[#This Row],[Fljótsdalshreppur]]</f>
        <v>24533.083557951486</v>
      </c>
      <c r="D36" s="121">
        <f>Table4[[#This Row],[Djúpavogshreppur]]</f>
        <v>187160.01886792455</v>
      </c>
      <c r="M36" s="1">
        <v>2002</v>
      </c>
      <c r="N36" s="54">
        <f>Table3[[#This Row],[Seyðisfjarðarkaupstaður]]</f>
        <v>144712</v>
      </c>
      <c r="O36" s="54">
        <f>Table3[[#This Row],[Fljótsdalshreppur]]</f>
        <v>11654</v>
      </c>
      <c r="P36" s="54">
        <f>Table3[[#This Row],[Djúpavogshreppur]]</f>
        <v>88907</v>
      </c>
    </row>
    <row r="37" spans="1:16">
      <c r="A37" s="1">
        <v>2003</v>
      </c>
      <c r="B37" s="121">
        <f>Table4[[#This Row],[Seyðisfjarðarkaupstaður]]</f>
        <v>309517.20633523975</v>
      </c>
      <c r="C37" s="121">
        <f>Table4[[#This Row],[Fljótsdalshreppur]]</f>
        <v>87384.725912890441</v>
      </c>
      <c r="D37" s="121">
        <f>Table4[[#This Row],[Djúpavogshreppur]]</f>
        <v>191171.48262208534</v>
      </c>
      <c r="M37" s="1">
        <v>2003</v>
      </c>
      <c r="N37" s="54">
        <f>Table3[[#This Row],[Seyðisfjarðarkaupstaður]]</f>
        <v>150135</v>
      </c>
      <c r="O37" s="54">
        <f>Table3[[#This Row],[Fljótsdalshreppur]]</f>
        <v>42387</v>
      </c>
      <c r="P37" s="54">
        <f>Table3[[#This Row],[Djúpavogshreppur]]</f>
        <v>92730</v>
      </c>
    </row>
    <row r="38" spans="1:16">
      <c r="A38" s="1">
        <v>2004</v>
      </c>
      <c r="B38" s="121">
        <f>Table4[[#This Row],[Seyðisfjarðarkaupstaður]]</f>
        <v>319071.4578005115</v>
      </c>
      <c r="C38" s="121">
        <f>Table4[[#This Row],[Fljótsdalshreppur]]</f>
        <v>256994.9411764706</v>
      </c>
      <c r="D38" s="121">
        <f>Table4[[#This Row],[Djúpavogshreppur]]</f>
        <v>200239.61125319696</v>
      </c>
      <c r="M38" s="1">
        <v>2004</v>
      </c>
      <c r="N38" s="54">
        <f>Table3[[#This Row],[Seyðisfjarðarkaupstaður]]</f>
        <v>159740</v>
      </c>
      <c r="O38" s="54">
        <f>Table3[[#This Row],[Fljótsdalshreppur]]</f>
        <v>128662</v>
      </c>
      <c r="P38" s="54">
        <f>Table3[[#This Row],[Djúpavogshreppur]]</f>
        <v>100248</v>
      </c>
    </row>
    <row r="39" spans="1:16">
      <c r="A39" s="1">
        <v>2005</v>
      </c>
      <c r="B39" s="121">
        <f>Table4[[#This Row],[Seyðisfjarðarkaupstaður]]</f>
        <v>334260.96108152403</v>
      </c>
      <c r="C39" s="121">
        <f>Table4[[#This Row],[Fljótsdalshreppur]]</f>
        <v>269547.70421958214</v>
      </c>
      <c r="D39" s="121">
        <f>Table4[[#This Row],[Djúpavogshreppur]]</f>
        <v>194957.56493240476</v>
      </c>
      <c r="M39" s="1">
        <v>2005</v>
      </c>
      <c r="N39" s="54">
        <f>Table3[[#This Row],[Seyðisfjarðarkaupstaður]]</f>
        <v>174121</v>
      </c>
      <c r="O39" s="54">
        <f>Table3[[#This Row],[Fljótsdalshreppur]]</f>
        <v>140411</v>
      </c>
      <c r="P39" s="54">
        <f>Table3[[#This Row],[Djúpavogshreppur]]</f>
        <v>101556</v>
      </c>
    </row>
    <row r="40" spans="1:16">
      <c r="A40" s="1">
        <v>2006</v>
      </c>
      <c r="B40" s="121">
        <f>Table4[[#This Row],[Seyðisfjarðarkaupstaður]]</f>
        <v>339263.88257866458</v>
      </c>
      <c r="C40" s="121">
        <f>Table4[[#This Row],[Fljótsdalshreppur]]</f>
        <v>348376.94781273982</v>
      </c>
      <c r="D40" s="121">
        <f>Table4[[#This Row],[Djúpavogshreppur]]</f>
        <v>203618.02839600921</v>
      </c>
      <c r="M40" s="1">
        <v>2006</v>
      </c>
      <c r="N40" s="54">
        <f>Table3[[#This Row],[Seyðisfjarðarkaupstaður]]</f>
        <v>188673</v>
      </c>
      <c r="O40" s="54">
        <f>Table3[[#This Row],[Fljótsdalshreppur]]</f>
        <v>193741</v>
      </c>
      <c r="P40" s="54">
        <f>Table3[[#This Row],[Djúpavogshreppur]]</f>
        <v>113237</v>
      </c>
    </row>
    <row r="41" spans="1:16">
      <c r="A41" s="1">
        <v>2007</v>
      </c>
      <c r="B41" s="121">
        <f>Table4[[#This Row],[Seyðisfjarðarkaupstaður]]</f>
        <v>348453.83631713554</v>
      </c>
      <c r="C41" s="121">
        <f>Table4[[#This Row],[Fljótsdalshreppur]]</f>
        <v>343242.2236024845</v>
      </c>
      <c r="D41" s="121">
        <f>Table4[[#This Row],[Djúpavogshreppur]]</f>
        <v>207271.17939349657</v>
      </c>
      <c r="M41" s="1">
        <v>2007</v>
      </c>
      <c r="N41" s="54">
        <f>Table3[[#This Row],[Seyðisfjarðarkaupstaður]]</f>
        <v>203525</v>
      </c>
      <c r="O41" s="54">
        <f>Table3[[#This Row],[Fljótsdalshreppur]]</f>
        <v>200481</v>
      </c>
      <c r="P41" s="54">
        <f>Table3[[#This Row],[Djúpavogshreppur]]</f>
        <v>121063</v>
      </c>
    </row>
    <row r="42" spans="1:16">
      <c r="A42" s="1">
        <v>2008</v>
      </c>
      <c r="B42" s="121">
        <f>Table4[[#This Row],[Seyðisfjarðarkaupstaður]]</f>
        <v>342516.59863503417</v>
      </c>
      <c r="C42" s="121">
        <f>Table4[[#This Row],[Fljótsdalshreppur]]</f>
        <v>197929.81735456616</v>
      </c>
      <c r="D42" s="121">
        <f>Table4[[#This Row],[Djúpavogshreppur]]</f>
        <v>201456.88137796559</v>
      </c>
      <c r="M42" s="1">
        <v>2008</v>
      </c>
      <c r="N42" s="54">
        <f>Table3[[#This Row],[Seyðisfjarðarkaupstaður]]</f>
        <v>224909</v>
      </c>
      <c r="O42" s="54">
        <f>Table3[[#This Row],[Fljótsdalshreppur]]</f>
        <v>129968</v>
      </c>
      <c r="P42" s="54">
        <f>Table3[[#This Row],[Djúpavogshreppur]]</f>
        <v>132284</v>
      </c>
    </row>
    <row r="43" spans="1:16">
      <c r="A43" s="1">
        <v>2009</v>
      </c>
      <c r="B43" s="121">
        <f>Table4[[#This Row],[Seyðisfjarðarkaupstaður]]</f>
        <v>329602.8508415554</v>
      </c>
      <c r="C43" s="121">
        <f>Table4[[#This Row],[Fljótsdalshreppur]]</f>
        <v>37694.69529889727</v>
      </c>
      <c r="D43" s="121">
        <f>Table4[[#This Row],[Djúpavogshreppur]]</f>
        <v>180058.80208937899</v>
      </c>
      <c r="M43" s="1">
        <v>2009</v>
      </c>
      <c r="N43" s="54">
        <f>Table3[[#This Row],[Seyðisfjarðarkaupstaður]]</f>
        <v>242384</v>
      </c>
      <c r="O43" s="54">
        <f>Table3[[#This Row],[Fljótsdalshreppur]]</f>
        <v>27720</v>
      </c>
      <c r="P43" s="54">
        <f>Table3[[#This Row],[Djúpavogshreppur]]</f>
        <v>132412</v>
      </c>
    </row>
    <row r="44" spans="1:16">
      <c r="A44" s="1">
        <v>2010</v>
      </c>
      <c r="B44" s="121">
        <f>Table4[[#This Row],[Seyðisfjarðarkaupstaður]]</f>
        <v>297132.65418502205</v>
      </c>
      <c r="C44" s="121">
        <f>Table4[[#This Row],[Fljótsdalshreppur]]</f>
        <v>27483.802863436129</v>
      </c>
      <c r="D44" s="121">
        <f>Table4[[#This Row],[Djúpavogshreppur]]</f>
        <v>179731.06552863435</v>
      </c>
      <c r="M44" s="1">
        <v>2010</v>
      </c>
      <c r="N44" s="54">
        <f>Table3[[#This Row],[Seyðisfjarðarkaupstaður]]</f>
        <v>230300</v>
      </c>
      <c r="O44" s="54">
        <f>Table3[[#This Row],[Fljótsdalshreppur]]</f>
        <v>21302</v>
      </c>
      <c r="P44" s="54">
        <f>Table3[[#This Row],[Djúpavogshreppur]]</f>
        <v>139305</v>
      </c>
    </row>
    <row r="45" spans="1:16">
      <c r="A45" s="1">
        <v>2011</v>
      </c>
      <c r="B45" s="121">
        <f>Table4[[#This Row],[Seyðisfjarðarkaupstaður]]</f>
        <v>316954.48927720415</v>
      </c>
      <c r="C45" s="121">
        <f>Table4[[#This Row],[Fljótsdalshreppur]]</f>
        <v>25192.988085782366</v>
      </c>
      <c r="D45" s="121">
        <f>Table4[[#This Row],[Djúpavogshreppur]]</f>
        <v>192637.15488482924</v>
      </c>
      <c r="M45" s="1">
        <v>2011</v>
      </c>
      <c r="N45" s="54">
        <f>Table3[[#This Row],[Seyðisfjarðarkaupstaður]]</f>
        <v>255471</v>
      </c>
      <c r="O45" s="54">
        <f>Table3[[#This Row],[Fljótsdalshreppur]]</f>
        <v>20306</v>
      </c>
      <c r="P45" s="54">
        <f>Table3[[#This Row],[Djúpavogshreppur]]</f>
        <v>155269</v>
      </c>
    </row>
    <row r="46" spans="1:16">
      <c r="A46" s="1">
        <v>2012</v>
      </c>
      <c r="B46" s="121">
        <f>Table4[[#This Row],[Seyðisfjarðarkaupstaður]]</f>
        <v>320117.60885980364</v>
      </c>
      <c r="C46" s="121">
        <f>Table4[[#This Row],[Fljótsdalshreppur]]</f>
        <v>23629.328970551222</v>
      </c>
      <c r="D46" s="121">
        <f>Table4[[#This Row],[Djúpavogshreppur]]</f>
        <v>191816.98112257742</v>
      </c>
      <c r="M46" s="1">
        <v>2012</v>
      </c>
      <c r="N46" s="54">
        <f>Table3[[#This Row],[Seyðisfjarðarkaupstaður]]</f>
        <v>271410</v>
      </c>
      <c r="O46" s="54">
        <f>Table3[[#This Row],[Fljótsdalshreppur]]</f>
        <v>20034</v>
      </c>
      <c r="P46" s="54">
        <f>Table3[[#This Row],[Djúpavogshreppur]]</f>
        <v>162631</v>
      </c>
    </row>
    <row r="47" spans="1:16">
      <c r="A47" s="1">
        <v>2013</v>
      </c>
      <c r="B47" s="121">
        <f>Table4[[#This Row],[Seyðisfjarðarkaupstaður]]</f>
        <v>320167.07082781626</v>
      </c>
      <c r="C47" s="121">
        <f>Table4[[#This Row],[Fljótsdalshreppur]]</f>
        <v>26183.149403973832</v>
      </c>
      <c r="D47" s="121">
        <f>Table4[[#This Row],[Djúpavogshreppur]]</f>
        <v>186317.65829089264</v>
      </c>
      <c r="M47" s="1">
        <v>2013</v>
      </c>
      <c r="N47" s="54">
        <f>Table3[[#This Row],[Seyðisfjarðarkaupstaður]]</f>
        <v>281973.85858011048</v>
      </c>
      <c r="O47" s="54">
        <f>Table3[[#This Row],[Fljótsdalshreppur]]</f>
        <v>23059.722063636364</v>
      </c>
      <c r="P47" s="54">
        <f>Table3[[#This Row],[Djúpavogshreppur]]</f>
        <v>164091.54412430941</v>
      </c>
    </row>
    <row r="48" spans="1:16">
      <c r="A48" s="1">
        <v>2014</v>
      </c>
      <c r="B48" s="121">
        <f>Table4[[#This Row],[Seyðisfjarðarkaupstaður]]</f>
        <v>328787.83186891471</v>
      </c>
      <c r="C48" s="121">
        <f>Table4[[#This Row],[Fljótsdalshreppur]]</f>
        <v>31119.446687247684</v>
      </c>
      <c r="D48" s="121">
        <f>Table4[[#This Row],[Djúpavogshreppur]]</f>
        <v>205352.73854191403</v>
      </c>
      <c r="M48" s="1">
        <v>2014</v>
      </c>
      <c r="N48" s="54">
        <f>Table3[[#This Row],[Seyðisfjarðarkaupstaður]]</f>
        <v>295460</v>
      </c>
      <c r="O48" s="54">
        <f>Table3[[#This Row],[Fljótsdalshreppur]]</f>
        <v>27965</v>
      </c>
      <c r="P48" s="54">
        <f>Table3[[#This Row],[Djúpavogshreppur]]</f>
        <v>184537</v>
      </c>
    </row>
    <row r="49" spans="1:16">
      <c r="A49" s="1">
        <v>2015</v>
      </c>
      <c r="B49" s="121">
        <f>Table4[[#This Row],[Seyðisfjarðarkaupstaður]]</f>
        <v>341637.96339953272</v>
      </c>
      <c r="C49" s="121">
        <f>Table4[[#This Row],[Fljótsdalshreppur]]</f>
        <v>30386.923188785051</v>
      </c>
      <c r="D49" s="121">
        <f>Table4[[#This Row],[Djúpavogshreppur]]</f>
        <v>200328.64811495331</v>
      </c>
      <c r="M49" s="1">
        <v>2015</v>
      </c>
      <c r="N49" s="54">
        <f>Table3[[#This Row],[Seyðisfjarðarkaupstaður]]</f>
        <v>312038.08863636362</v>
      </c>
      <c r="O49" s="54">
        <f>Table3[[#This Row],[Fljótsdalshreppur]]</f>
        <v>27754.168000000001</v>
      </c>
      <c r="P49" s="54">
        <f>Table3[[#This Row],[Djúpavogshreppur]]</f>
        <v>182971.962</v>
      </c>
    </row>
    <row r="50" spans="1:16">
      <c r="A50" s="1">
        <v>2016</v>
      </c>
      <c r="B50" s="121">
        <f>Table4[[#This Row],[Seyðisfjarðarkaupstaður]]</f>
        <v>357498.49352308759</v>
      </c>
      <c r="C50" s="121">
        <f>Table4[[#This Row],[Fljótsdalshreppur]]</f>
        <v>35256.998952446593</v>
      </c>
      <c r="D50" s="121">
        <f>Table4[[#This Row],[Djúpavogshreppur]]</f>
        <v>215767.9281984838</v>
      </c>
      <c r="M50" s="1">
        <v>2016</v>
      </c>
      <c r="N50" s="54">
        <f>Table3[[#This Row],[Seyðisfjarðarkaupstaður]]</f>
        <v>332093.67100000003</v>
      </c>
      <c r="O50" s="54">
        <f>Table3[[#This Row],[Fljótsdalshreppur]]</f>
        <v>32751.54</v>
      </c>
      <c r="P50" s="54">
        <f>Table3[[#This Row],[Djúpavogshreppur]]</f>
        <v>200434.86800000002</v>
      </c>
    </row>
    <row r="51" spans="1:16">
      <c r="A51" s="1">
        <v>2017</v>
      </c>
      <c r="B51" s="121">
        <f>Table4[[#This Row],[Seyðisfjarðarkaupstaður]]</f>
        <v>373730.06512009032</v>
      </c>
      <c r="C51" s="121">
        <f>Table4[[#This Row],[Fljótsdalshreppur]]</f>
        <v>37175.040782844248</v>
      </c>
      <c r="D51" s="121">
        <f>Table4[[#This Row],[Djúpavogshreppur]]</f>
        <v>238678.15095575622</v>
      </c>
      <c r="M51" s="1">
        <v>2017</v>
      </c>
      <c r="N51" s="54">
        <f>Table3[[#This Row],[Seyðisfjarðarkaupstaður]]</f>
        <v>353312.88700000005</v>
      </c>
      <c r="O51" s="54">
        <f>Table3[[#This Row],[Fljótsdalshreppur]]</f>
        <v>35144.137999999999</v>
      </c>
      <c r="P51" s="54">
        <f>Table3[[#This Row],[Djúpavogshreppur]]</f>
        <v>225638.96899999998</v>
      </c>
    </row>
    <row r="52" spans="1:16">
      <c r="A52" s="1">
        <v>2018</v>
      </c>
      <c r="B52" s="121">
        <f>Table4[[#This Row],[Seyðisfjarðarkaupstaður]]</f>
        <v>403062.22423526831</v>
      </c>
      <c r="C52" s="121">
        <f>Table4[[#This Row],[Fljótsdalshreppur]]</f>
        <v>37017.454025505715</v>
      </c>
      <c r="D52" s="121">
        <f>Table4[[#This Row],[Djúpavogshreppur]]</f>
        <v>248680.7049912049</v>
      </c>
      <c r="M52" s="1">
        <v>2018</v>
      </c>
      <c r="N52" s="54">
        <f>Table3[[#This Row],[Seyðisfjarðarkaupstaður]]</f>
        <v>391192.27396969701</v>
      </c>
      <c r="O52" s="54">
        <f>Table3[[#This Row],[Fljótsdalshreppur]]</f>
        <v>35927.311333333331</v>
      </c>
      <c r="P52" s="54">
        <f>Table3[[#This Row],[Djúpavogshreppur]]</f>
        <v>241357.20151515148</v>
      </c>
    </row>
    <row r="53" spans="1:16">
      <c r="A53" s="1">
        <v>2019</v>
      </c>
      <c r="B53" s="121">
        <f>Table4[[#This Row],[Seyðisfjarðarkaupstaður]]</f>
        <v>399903.6911818182</v>
      </c>
      <c r="C53" s="121">
        <f>Table4[[#This Row],[Fljótsdalshreppur]]</f>
        <v>42537.638866666668</v>
      </c>
      <c r="D53" s="121">
        <f>Table4[[#This Row],[Djúpavogshreppur]]</f>
        <v>268253.81130303029</v>
      </c>
      <c r="M53" s="1">
        <v>2019</v>
      </c>
      <c r="N53" s="54">
        <f>Table3[[#This Row],[Seyðisfjarðarkaupstaður]]</f>
        <v>399903.6911818182</v>
      </c>
      <c r="O53" s="54">
        <f>Table3[[#This Row],[Fljótsdalshreppur]]</f>
        <v>42537.638866666668</v>
      </c>
      <c r="P53" s="54">
        <f>Table3[[#This Row],[Djúpavogshreppur]]</f>
        <v>268253.81130303029</v>
      </c>
    </row>
  </sheetData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  <tableParts count="4"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3" ma:contentTypeDescription="Create a new document." ma:contentTypeScope="" ma:versionID="d33cd6b646080c3c300bd719f46b627e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2de7bcdb98d2ee0b6dfe5de71b3b8100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2482FB-7894-4078-ABB5-8F0F558ECAF3}"/>
</file>

<file path=customXml/itemProps2.xml><?xml version="1.0" encoding="utf-8"?>
<ds:datastoreItem xmlns:ds="http://schemas.openxmlformats.org/officeDocument/2006/customXml" ds:itemID="{F8ECCB53-A842-4325-9AAD-B647182EE930}"/>
</file>

<file path=customXml/itemProps3.xml><?xml version="1.0" encoding="utf-8"?>
<ds:datastoreItem xmlns:ds="http://schemas.openxmlformats.org/officeDocument/2006/customXml" ds:itemID="{BB2DC0DC-8068-4639-BD44-39ACA79E18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Arnar Úlfarsson</dc:creator>
  <cp:keywords/>
  <dc:description/>
  <cp:lastModifiedBy/>
  <cp:revision/>
  <dcterms:created xsi:type="dcterms:W3CDTF">2020-02-07T14:51:12Z</dcterms:created>
  <dcterms:modified xsi:type="dcterms:W3CDTF">2020-11-20T13:33:31Z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