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2. Hlutfall tekna og gjalda/2023/"/>
    </mc:Choice>
  </mc:AlternateContent>
  <xr:revisionPtr revIDLastSave="40" documentId="8_{B993B774-B535-428F-A3F6-A54463A0F120}" xr6:coauthVersionLast="47" xr6:coauthVersionMax="47" xr10:uidLastSave="{D2A25E98-4102-4DAC-904B-5040EEFA9DA4}"/>
  <bookViews>
    <workbookView xWindow="38280" yWindow="-120" windowWidth="29040" windowHeight="15720" xr2:uid="{95EE343A-A00D-435C-A1B6-23F75405F674}"/>
  </bookViews>
  <sheets>
    <sheet name="Frumgögn" sheetId="12" r:id="rId1"/>
    <sheet name="Úrvinnsla" sheetId="7" r:id="rId2"/>
    <sheet name="Úrvinnsla frh." sheetId="9" r:id="rId3"/>
    <sheet name="Birting" sheetId="8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9" l="1"/>
  <c r="E209" i="9"/>
  <c r="D209" i="9"/>
  <c r="C209" i="9"/>
  <c r="F208" i="9"/>
  <c r="E208" i="9"/>
  <c r="D208" i="9"/>
  <c r="C208" i="9"/>
  <c r="F207" i="9"/>
  <c r="E207" i="9"/>
  <c r="D207" i="9"/>
  <c r="C207" i="9"/>
  <c r="F206" i="9"/>
  <c r="E206" i="9"/>
  <c r="D206" i="9"/>
  <c r="C206" i="9"/>
  <c r="H204" i="9"/>
  <c r="L208" i="9" s="1"/>
  <c r="M98" i="7"/>
  <c r="N98" i="7"/>
  <c r="O98" i="7"/>
  <c r="P98" i="7"/>
  <c r="M74" i="7"/>
  <c r="N74" i="7"/>
  <c r="O74" i="7"/>
  <c r="P74" i="7"/>
  <c r="M50" i="7"/>
  <c r="N50" i="7"/>
  <c r="O50" i="7"/>
  <c r="P50" i="7"/>
  <c r="M26" i="7"/>
  <c r="N26" i="7"/>
  <c r="O26" i="7"/>
  <c r="P26" i="7"/>
  <c r="H194" i="9"/>
  <c r="M97" i="7"/>
  <c r="C199" i="9" s="1"/>
  <c r="N97" i="7"/>
  <c r="D199" i="9" s="1"/>
  <c r="O97" i="7"/>
  <c r="E199" i="9" s="1"/>
  <c r="P97" i="7"/>
  <c r="F199" i="9" s="1"/>
  <c r="M73" i="7"/>
  <c r="C198" i="9" s="1"/>
  <c r="N73" i="7"/>
  <c r="D198" i="9" s="1"/>
  <c r="O73" i="7"/>
  <c r="E198" i="9" s="1"/>
  <c r="P73" i="7"/>
  <c r="F198" i="9" s="1"/>
  <c r="M49" i="7"/>
  <c r="C197" i="9" s="1"/>
  <c r="N49" i="7"/>
  <c r="D197" i="9" s="1"/>
  <c r="O49" i="7"/>
  <c r="E197" i="9" s="1"/>
  <c r="P49" i="7"/>
  <c r="F197" i="9" s="1"/>
  <c r="M25" i="7"/>
  <c r="C196" i="9" s="1"/>
  <c r="N25" i="7"/>
  <c r="D196" i="9" s="1"/>
  <c r="O25" i="7"/>
  <c r="E196" i="9" s="1"/>
  <c r="P25" i="7"/>
  <c r="F196" i="9" s="1"/>
  <c r="H64" i="9"/>
  <c r="H74" i="9"/>
  <c r="H84" i="9"/>
  <c r="H94" i="9"/>
  <c r="H104" i="9"/>
  <c r="H114" i="9"/>
  <c r="H124" i="9"/>
  <c r="H134" i="9"/>
  <c r="H144" i="9"/>
  <c r="H154" i="9"/>
  <c r="H164" i="9"/>
  <c r="H174" i="9"/>
  <c r="H184" i="9"/>
  <c r="P78" i="7"/>
  <c r="F8" i="9" s="1"/>
  <c r="P79" i="7"/>
  <c r="L18" i="9" s="1"/>
  <c r="P80" i="7"/>
  <c r="L28" i="9" s="1"/>
  <c r="P81" i="7"/>
  <c r="L38" i="9" s="1"/>
  <c r="P82" i="7"/>
  <c r="F48" i="9" s="1"/>
  <c r="P83" i="7"/>
  <c r="F58" i="9" s="1"/>
  <c r="P84" i="7"/>
  <c r="F69" i="9" s="1"/>
  <c r="P85" i="7"/>
  <c r="F79" i="9" s="1"/>
  <c r="P86" i="7"/>
  <c r="F89" i="9" s="1"/>
  <c r="P87" i="7"/>
  <c r="F99" i="9" s="1"/>
  <c r="P88" i="7"/>
  <c r="F109" i="9" s="1"/>
  <c r="P89" i="7"/>
  <c r="F119" i="9" s="1"/>
  <c r="P90" i="7"/>
  <c r="F129" i="9" s="1"/>
  <c r="P91" i="7"/>
  <c r="F139" i="9" s="1"/>
  <c r="P92" i="7"/>
  <c r="F149" i="9" s="1"/>
  <c r="P93" i="7"/>
  <c r="F159" i="9" s="1"/>
  <c r="P94" i="7"/>
  <c r="F169" i="9" s="1"/>
  <c r="P95" i="7"/>
  <c r="F179" i="9" s="1"/>
  <c r="P96" i="7"/>
  <c r="F189" i="9" s="1"/>
  <c r="O78" i="7"/>
  <c r="K8" i="9" s="1"/>
  <c r="O79" i="7"/>
  <c r="K18" i="9" s="1"/>
  <c r="O80" i="7"/>
  <c r="E28" i="9" s="1"/>
  <c r="O81" i="7"/>
  <c r="K38" i="9" s="1"/>
  <c r="O82" i="7"/>
  <c r="E48" i="9" s="1"/>
  <c r="O83" i="7"/>
  <c r="E58" i="9" s="1"/>
  <c r="O84" i="7"/>
  <c r="E69" i="9" s="1"/>
  <c r="O85" i="7"/>
  <c r="E79" i="9" s="1"/>
  <c r="O86" i="7"/>
  <c r="E89" i="9" s="1"/>
  <c r="O87" i="7"/>
  <c r="E99" i="9" s="1"/>
  <c r="O88" i="7"/>
  <c r="E109" i="9" s="1"/>
  <c r="O89" i="7"/>
  <c r="E119" i="9" s="1"/>
  <c r="O90" i="7"/>
  <c r="E129" i="9" s="1"/>
  <c r="O91" i="7"/>
  <c r="E139" i="9" s="1"/>
  <c r="O92" i="7"/>
  <c r="E149" i="9" s="1"/>
  <c r="O93" i="7"/>
  <c r="E159" i="9" s="1"/>
  <c r="O94" i="7"/>
  <c r="E169" i="9" s="1"/>
  <c r="O95" i="7"/>
  <c r="E179" i="9" s="1"/>
  <c r="O96" i="7"/>
  <c r="E189" i="9" s="1"/>
  <c r="N78" i="7"/>
  <c r="D8" i="9" s="1"/>
  <c r="N79" i="7"/>
  <c r="J18" i="9" s="1"/>
  <c r="N80" i="7"/>
  <c r="J28" i="9" s="1"/>
  <c r="N81" i="7"/>
  <c r="D38" i="9" s="1"/>
  <c r="N82" i="7"/>
  <c r="D48" i="9" s="1"/>
  <c r="N83" i="7"/>
  <c r="J58" i="9" s="1"/>
  <c r="N84" i="7"/>
  <c r="D69" i="9" s="1"/>
  <c r="N85" i="7"/>
  <c r="D79" i="9" s="1"/>
  <c r="N86" i="7"/>
  <c r="D89" i="9" s="1"/>
  <c r="N87" i="7"/>
  <c r="D99" i="9" s="1"/>
  <c r="N88" i="7"/>
  <c r="D109" i="9" s="1"/>
  <c r="N89" i="7"/>
  <c r="D119" i="9" s="1"/>
  <c r="N90" i="7"/>
  <c r="D129" i="9" s="1"/>
  <c r="N91" i="7"/>
  <c r="D139" i="9" s="1"/>
  <c r="N92" i="7"/>
  <c r="D149" i="9" s="1"/>
  <c r="N93" i="7"/>
  <c r="D159" i="9" s="1"/>
  <c r="N94" i="7"/>
  <c r="D169" i="9" s="1"/>
  <c r="N95" i="7"/>
  <c r="D179" i="9" s="1"/>
  <c r="N96" i="7"/>
  <c r="D189" i="9" s="1"/>
  <c r="M78" i="7"/>
  <c r="I8" i="9" s="1"/>
  <c r="M79" i="7"/>
  <c r="I18" i="9" s="1"/>
  <c r="M80" i="7"/>
  <c r="I28" i="9" s="1"/>
  <c r="M81" i="7"/>
  <c r="C38" i="9" s="1"/>
  <c r="M82" i="7"/>
  <c r="C48" i="9" s="1"/>
  <c r="M83" i="7"/>
  <c r="I58" i="9" s="1"/>
  <c r="M84" i="7"/>
  <c r="C69" i="9" s="1"/>
  <c r="M85" i="7"/>
  <c r="C79" i="9" s="1"/>
  <c r="M86" i="7"/>
  <c r="C89" i="9" s="1"/>
  <c r="M87" i="7"/>
  <c r="C99" i="9" s="1"/>
  <c r="M88" i="7"/>
  <c r="C109" i="9" s="1"/>
  <c r="M89" i="7"/>
  <c r="C119" i="9" s="1"/>
  <c r="M90" i="7"/>
  <c r="M91" i="7"/>
  <c r="C139" i="9" s="1"/>
  <c r="M92" i="7"/>
  <c r="C149" i="9" s="1"/>
  <c r="M93" i="7"/>
  <c r="C159" i="9" s="1"/>
  <c r="M94" i="7"/>
  <c r="C169" i="9" s="1"/>
  <c r="M95" i="7"/>
  <c r="C179" i="9" s="1"/>
  <c r="M96" i="7"/>
  <c r="C189" i="9" s="1"/>
  <c r="P54" i="7"/>
  <c r="F7" i="9" s="1"/>
  <c r="P55" i="7"/>
  <c r="L17" i="9" s="1"/>
  <c r="P56" i="7"/>
  <c r="F27" i="9" s="1"/>
  <c r="P57" i="7"/>
  <c r="F37" i="9" s="1"/>
  <c r="P58" i="7"/>
  <c r="L47" i="9" s="1"/>
  <c r="P59" i="7"/>
  <c r="L57" i="9" s="1"/>
  <c r="P60" i="7"/>
  <c r="F68" i="9" s="1"/>
  <c r="P61" i="7"/>
  <c r="F78" i="9" s="1"/>
  <c r="P62" i="7"/>
  <c r="F88" i="9" s="1"/>
  <c r="P63" i="7"/>
  <c r="F98" i="9" s="1"/>
  <c r="P64" i="7"/>
  <c r="F108" i="9" s="1"/>
  <c r="P65" i="7"/>
  <c r="F118" i="9" s="1"/>
  <c r="P66" i="7"/>
  <c r="F128" i="9" s="1"/>
  <c r="P67" i="7"/>
  <c r="F138" i="9" s="1"/>
  <c r="P68" i="7"/>
  <c r="F148" i="9" s="1"/>
  <c r="P69" i="7"/>
  <c r="F158" i="9" s="1"/>
  <c r="P70" i="7"/>
  <c r="F168" i="9" s="1"/>
  <c r="P71" i="7"/>
  <c r="F178" i="9" s="1"/>
  <c r="P72" i="7"/>
  <c r="F188" i="9" s="1"/>
  <c r="O54" i="7"/>
  <c r="K7" i="9" s="1"/>
  <c r="O55" i="7"/>
  <c r="E17" i="9" s="1"/>
  <c r="O56" i="7"/>
  <c r="E27" i="9" s="1"/>
  <c r="O57" i="7"/>
  <c r="K37" i="9" s="1"/>
  <c r="O58" i="7"/>
  <c r="K47" i="9" s="1"/>
  <c r="O59" i="7"/>
  <c r="K57" i="9" s="1"/>
  <c r="O60" i="7"/>
  <c r="E68" i="9" s="1"/>
  <c r="O61" i="7"/>
  <c r="E78" i="9" s="1"/>
  <c r="O62" i="7"/>
  <c r="E88" i="9" s="1"/>
  <c r="O63" i="7"/>
  <c r="E98" i="9" s="1"/>
  <c r="O64" i="7"/>
  <c r="E108" i="9" s="1"/>
  <c r="O65" i="7"/>
  <c r="E118" i="9" s="1"/>
  <c r="O66" i="7"/>
  <c r="E128" i="9" s="1"/>
  <c r="O67" i="7"/>
  <c r="E138" i="9" s="1"/>
  <c r="O68" i="7"/>
  <c r="E148" i="9" s="1"/>
  <c r="O69" i="7"/>
  <c r="E158" i="9" s="1"/>
  <c r="O70" i="7"/>
  <c r="E168" i="9" s="1"/>
  <c r="O71" i="7"/>
  <c r="E178" i="9" s="1"/>
  <c r="O72" i="7"/>
  <c r="E188" i="9" s="1"/>
  <c r="N54" i="7"/>
  <c r="D7" i="9" s="1"/>
  <c r="N55" i="7"/>
  <c r="D17" i="9" s="1"/>
  <c r="N56" i="7"/>
  <c r="D27" i="9" s="1"/>
  <c r="N57" i="7"/>
  <c r="D37" i="9" s="1"/>
  <c r="N58" i="7"/>
  <c r="J47" i="9" s="1"/>
  <c r="N59" i="7"/>
  <c r="J57" i="9" s="1"/>
  <c r="N60" i="7"/>
  <c r="D68" i="9" s="1"/>
  <c r="N61" i="7"/>
  <c r="D78" i="9" s="1"/>
  <c r="N62" i="7"/>
  <c r="N63" i="7"/>
  <c r="D98" i="9" s="1"/>
  <c r="N64" i="7"/>
  <c r="D108" i="9" s="1"/>
  <c r="N65" i="7"/>
  <c r="D118" i="9" s="1"/>
  <c r="N66" i="7"/>
  <c r="D128" i="9" s="1"/>
  <c r="N67" i="7"/>
  <c r="D138" i="9" s="1"/>
  <c r="N68" i="7"/>
  <c r="D148" i="9" s="1"/>
  <c r="N69" i="7"/>
  <c r="D158" i="9" s="1"/>
  <c r="N70" i="7"/>
  <c r="D168" i="9" s="1"/>
  <c r="N71" i="7"/>
  <c r="D178" i="9" s="1"/>
  <c r="N72" i="7"/>
  <c r="D188" i="9" s="1"/>
  <c r="M54" i="7"/>
  <c r="C7" i="9" s="1"/>
  <c r="M55" i="7"/>
  <c r="C17" i="9" s="1"/>
  <c r="M56" i="7"/>
  <c r="I27" i="9" s="1"/>
  <c r="M57" i="7"/>
  <c r="I37" i="9" s="1"/>
  <c r="M58" i="7"/>
  <c r="I47" i="9" s="1"/>
  <c r="M59" i="7"/>
  <c r="I57" i="9" s="1"/>
  <c r="M60" i="7"/>
  <c r="C68" i="9" s="1"/>
  <c r="M61" i="7"/>
  <c r="C78" i="9" s="1"/>
  <c r="M62" i="7"/>
  <c r="C88" i="9" s="1"/>
  <c r="M63" i="7"/>
  <c r="C98" i="9" s="1"/>
  <c r="M64" i="7"/>
  <c r="C108" i="9" s="1"/>
  <c r="M65" i="7"/>
  <c r="C118" i="9" s="1"/>
  <c r="M66" i="7"/>
  <c r="C128" i="9" s="1"/>
  <c r="M67" i="7"/>
  <c r="C138" i="9" s="1"/>
  <c r="M68" i="7"/>
  <c r="C148" i="9" s="1"/>
  <c r="M69" i="7"/>
  <c r="C158" i="9" s="1"/>
  <c r="M70" i="7"/>
  <c r="C168" i="9" s="1"/>
  <c r="M71" i="7"/>
  <c r="C178" i="9" s="1"/>
  <c r="M72" i="7"/>
  <c r="C188" i="9" s="1"/>
  <c r="P30" i="7"/>
  <c r="L6" i="9" s="1"/>
  <c r="P31" i="7"/>
  <c r="L16" i="9" s="1"/>
  <c r="P32" i="7"/>
  <c r="L26" i="9" s="1"/>
  <c r="P33" i="7"/>
  <c r="L36" i="9" s="1"/>
  <c r="P34" i="7"/>
  <c r="L46" i="9" s="1"/>
  <c r="P35" i="7"/>
  <c r="L56" i="9" s="1"/>
  <c r="P36" i="7"/>
  <c r="F67" i="9" s="1"/>
  <c r="P37" i="7"/>
  <c r="F77" i="9" s="1"/>
  <c r="P38" i="7"/>
  <c r="F87" i="9" s="1"/>
  <c r="P39" i="7"/>
  <c r="F97" i="9" s="1"/>
  <c r="P40" i="7"/>
  <c r="F107" i="9" s="1"/>
  <c r="P41" i="7"/>
  <c r="F117" i="9" s="1"/>
  <c r="P42" i="7"/>
  <c r="F127" i="9" s="1"/>
  <c r="P43" i="7"/>
  <c r="F137" i="9" s="1"/>
  <c r="P44" i="7"/>
  <c r="F147" i="9" s="1"/>
  <c r="P45" i="7"/>
  <c r="F157" i="9" s="1"/>
  <c r="P46" i="7"/>
  <c r="F167" i="9" s="1"/>
  <c r="P47" i="7"/>
  <c r="F177" i="9" s="1"/>
  <c r="P48" i="7"/>
  <c r="F187" i="9" s="1"/>
  <c r="O30" i="7"/>
  <c r="K6" i="9" s="1"/>
  <c r="O31" i="7"/>
  <c r="E16" i="9" s="1"/>
  <c r="O32" i="7"/>
  <c r="K26" i="9" s="1"/>
  <c r="O33" i="7"/>
  <c r="K36" i="9" s="1"/>
  <c r="O34" i="7"/>
  <c r="K46" i="9" s="1"/>
  <c r="O35" i="7"/>
  <c r="K56" i="9" s="1"/>
  <c r="O36" i="7"/>
  <c r="E67" i="9" s="1"/>
  <c r="O37" i="7"/>
  <c r="E77" i="9" s="1"/>
  <c r="O38" i="7"/>
  <c r="E87" i="9" s="1"/>
  <c r="O39" i="7"/>
  <c r="E97" i="9" s="1"/>
  <c r="O40" i="7"/>
  <c r="E107" i="9" s="1"/>
  <c r="O41" i="7"/>
  <c r="E117" i="9" s="1"/>
  <c r="O42" i="7"/>
  <c r="E127" i="9" s="1"/>
  <c r="O43" i="7"/>
  <c r="E137" i="9" s="1"/>
  <c r="O44" i="7"/>
  <c r="E147" i="9" s="1"/>
  <c r="O45" i="7"/>
  <c r="E157" i="9" s="1"/>
  <c r="O46" i="7"/>
  <c r="E167" i="9" s="1"/>
  <c r="O47" i="7"/>
  <c r="E177" i="9" s="1"/>
  <c r="O48" i="7"/>
  <c r="E187" i="9" s="1"/>
  <c r="N30" i="7"/>
  <c r="D6" i="9" s="1"/>
  <c r="N31" i="7"/>
  <c r="D16" i="9" s="1"/>
  <c r="N32" i="7"/>
  <c r="J26" i="9" s="1"/>
  <c r="N33" i="7"/>
  <c r="D36" i="9" s="1"/>
  <c r="N34" i="7"/>
  <c r="J46" i="9" s="1"/>
  <c r="N35" i="7"/>
  <c r="D56" i="9" s="1"/>
  <c r="N36" i="7"/>
  <c r="D67" i="9" s="1"/>
  <c r="N37" i="7"/>
  <c r="D77" i="9" s="1"/>
  <c r="N38" i="7"/>
  <c r="D87" i="9" s="1"/>
  <c r="N39" i="7"/>
  <c r="D97" i="9" s="1"/>
  <c r="N40" i="7"/>
  <c r="D107" i="9" s="1"/>
  <c r="N41" i="7"/>
  <c r="D117" i="9" s="1"/>
  <c r="N42" i="7"/>
  <c r="D127" i="9" s="1"/>
  <c r="N43" i="7"/>
  <c r="D137" i="9" s="1"/>
  <c r="N44" i="7"/>
  <c r="D147" i="9" s="1"/>
  <c r="N45" i="7"/>
  <c r="D157" i="9" s="1"/>
  <c r="N46" i="7"/>
  <c r="D167" i="9" s="1"/>
  <c r="N47" i="7"/>
  <c r="D177" i="9" s="1"/>
  <c r="N48" i="7"/>
  <c r="D187" i="9" s="1"/>
  <c r="M30" i="7"/>
  <c r="C6" i="9" s="1"/>
  <c r="M31" i="7"/>
  <c r="I16" i="9" s="1"/>
  <c r="M32" i="7"/>
  <c r="I26" i="9" s="1"/>
  <c r="M33" i="7"/>
  <c r="I36" i="9" s="1"/>
  <c r="M34" i="7"/>
  <c r="I46" i="9" s="1"/>
  <c r="M35" i="7"/>
  <c r="I56" i="9" s="1"/>
  <c r="M36" i="7"/>
  <c r="C67" i="9" s="1"/>
  <c r="M37" i="7"/>
  <c r="C77" i="9" s="1"/>
  <c r="M38" i="7"/>
  <c r="C87" i="9" s="1"/>
  <c r="M39" i="7"/>
  <c r="C97" i="9" s="1"/>
  <c r="M40" i="7"/>
  <c r="C107" i="9" s="1"/>
  <c r="M41" i="7"/>
  <c r="C117" i="9" s="1"/>
  <c r="M42" i="7"/>
  <c r="C127" i="9" s="1"/>
  <c r="M43" i="7"/>
  <c r="C137" i="9" s="1"/>
  <c r="M44" i="7"/>
  <c r="C147" i="9" s="1"/>
  <c r="M45" i="7"/>
  <c r="C157" i="9" s="1"/>
  <c r="M46" i="7"/>
  <c r="C167" i="9" s="1"/>
  <c r="M47" i="7"/>
  <c r="C177" i="9" s="1"/>
  <c r="M48" i="7"/>
  <c r="C187" i="9" s="1"/>
  <c r="P6" i="7"/>
  <c r="F5" i="9" s="1"/>
  <c r="M6" i="7"/>
  <c r="I5" i="9" s="1"/>
  <c r="N6" i="7"/>
  <c r="D5" i="9" s="1"/>
  <c r="O6" i="7"/>
  <c r="E5" i="9" s="1"/>
  <c r="P7" i="7"/>
  <c r="L15" i="9" s="1"/>
  <c r="P8" i="7"/>
  <c r="L25" i="9" s="1"/>
  <c r="P9" i="7"/>
  <c r="L35" i="9" s="1"/>
  <c r="P10" i="7"/>
  <c r="L45" i="9" s="1"/>
  <c r="P11" i="7"/>
  <c r="F55" i="9" s="1"/>
  <c r="P12" i="7"/>
  <c r="F66" i="9" s="1"/>
  <c r="P13" i="7"/>
  <c r="F76" i="9" s="1"/>
  <c r="P14" i="7"/>
  <c r="F86" i="9" s="1"/>
  <c r="P15" i="7"/>
  <c r="F96" i="9" s="1"/>
  <c r="P16" i="7"/>
  <c r="F106" i="9" s="1"/>
  <c r="P17" i="7"/>
  <c r="F116" i="9" s="1"/>
  <c r="P18" i="7"/>
  <c r="P19" i="7"/>
  <c r="F136" i="9" s="1"/>
  <c r="P20" i="7"/>
  <c r="F146" i="9" s="1"/>
  <c r="P21" i="7"/>
  <c r="F156" i="9" s="1"/>
  <c r="P22" i="7"/>
  <c r="F166" i="9" s="1"/>
  <c r="P23" i="7"/>
  <c r="F176" i="9" s="1"/>
  <c r="P24" i="7"/>
  <c r="F186" i="9" s="1"/>
  <c r="O7" i="7"/>
  <c r="K15" i="9" s="1"/>
  <c r="O8" i="7"/>
  <c r="K25" i="9" s="1"/>
  <c r="O9" i="7"/>
  <c r="K35" i="9" s="1"/>
  <c r="O10" i="7"/>
  <c r="K45" i="9" s="1"/>
  <c r="O11" i="7"/>
  <c r="K55" i="9" s="1"/>
  <c r="O12" i="7"/>
  <c r="E66" i="9" s="1"/>
  <c r="O13" i="7"/>
  <c r="E76" i="9" s="1"/>
  <c r="O14" i="7"/>
  <c r="E86" i="9" s="1"/>
  <c r="O15" i="7"/>
  <c r="E96" i="9" s="1"/>
  <c r="O16" i="7"/>
  <c r="E106" i="9" s="1"/>
  <c r="O17" i="7"/>
  <c r="E116" i="9" s="1"/>
  <c r="O18" i="7"/>
  <c r="E126" i="9" s="1"/>
  <c r="O19" i="7"/>
  <c r="E136" i="9" s="1"/>
  <c r="O20" i="7"/>
  <c r="E146" i="9" s="1"/>
  <c r="O21" i="7"/>
  <c r="E156" i="9" s="1"/>
  <c r="O22" i="7"/>
  <c r="E166" i="9" s="1"/>
  <c r="O23" i="7"/>
  <c r="E176" i="9" s="1"/>
  <c r="O24" i="7"/>
  <c r="E186" i="9" s="1"/>
  <c r="N7" i="7"/>
  <c r="D15" i="9" s="1"/>
  <c r="N8" i="7"/>
  <c r="J25" i="9" s="1"/>
  <c r="N9" i="7"/>
  <c r="J35" i="9" s="1"/>
  <c r="N10" i="7"/>
  <c r="J45" i="9" s="1"/>
  <c r="N11" i="7"/>
  <c r="J55" i="9" s="1"/>
  <c r="N12" i="7"/>
  <c r="D66" i="9" s="1"/>
  <c r="N13" i="7"/>
  <c r="D76" i="9" s="1"/>
  <c r="N14" i="7"/>
  <c r="N15" i="7"/>
  <c r="D96" i="9" s="1"/>
  <c r="N16" i="7"/>
  <c r="D106" i="9" s="1"/>
  <c r="N17" i="7"/>
  <c r="D116" i="9" s="1"/>
  <c r="N18" i="7"/>
  <c r="N19" i="7"/>
  <c r="D136" i="9" s="1"/>
  <c r="N20" i="7"/>
  <c r="D146" i="9" s="1"/>
  <c r="N21" i="7"/>
  <c r="D156" i="9" s="1"/>
  <c r="N22" i="7"/>
  <c r="D166" i="9" s="1"/>
  <c r="N23" i="7"/>
  <c r="D176" i="9" s="1"/>
  <c r="N24" i="7"/>
  <c r="D186" i="9" s="1"/>
  <c r="M7" i="7"/>
  <c r="I15" i="9" s="1"/>
  <c r="M8" i="7"/>
  <c r="C25" i="9" s="1"/>
  <c r="M9" i="7"/>
  <c r="I35" i="9" s="1"/>
  <c r="M10" i="7"/>
  <c r="I45" i="9" s="1"/>
  <c r="M11" i="7"/>
  <c r="I55" i="9" s="1"/>
  <c r="M12" i="7"/>
  <c r="C66" i="9" s="1"/>
  <c r="M13" i="7"/>
  <c r="C76" i="9" s="1"/>
  <c r="M14" i="7"/>
  <c r="C86" i="9" s="1"/>
  <c r="M15" i="7"/>
  <c r="C96" i="9" s="1"/>
  <c r="M16" i="7"/>
  <c r="C106" i="9" s="1"/>
  <c r="M17" i="7"/>
  <c r="C116" i="9" s="1"/>
  <c r="M18" i="7"/>
  <c r="I126" i="9" s="1"/>
  <c r="M19" i="7"/>
  <c r="C136" i="9" s="1"/>
  <c r="M20" i="7"/>
  <c r="C146" i="9" s="1"/>
  <c r="M21" i="7"/>
  <c r="C156" i="9" s="1"/>
  <c r="M22" i="7"/>
  <c r="C166" i="9" s="1"/>
  <c r="M23" i="7"/>
  <c r="C176" i="9" s="1"/>
  <c r="M24" i="7"/>
  <c r="C186" i="9" s="1"/>
  <c r="D211" i="9" l="1"/>
  <c r="C211" i="9"/>
  <c r="C210" i="9"/>
  <c r="E210" i="9"/>
  <c r="I209" i="9"/>
  <c r="F211" i="9"/>
  <c r="I207" i="9"/>
  <c r="J207" i="9"/>
  <c r="K207" i="9"/>
  <c r="D210" i="9"/>
  <c r="F210" i="9"/>
  <c r="J209" i="9"/>
  <c r="K209" i="9"/>
  <c r="E211" i="9"/>
  <c r="L207" i="9"/>
  <c r="L209" i="9"/>
  <c r="I206" i="9"/>
  <c r="I208" i="9"/>
  <c r="J206" i="9"/>
  <c r="J208" i="9"/>
  <c r="K206" i="9"/>
  <c r="K208" i="9"/>
  <c r="L206" i="9"/>
  <c r="D201" i="9"/>
  <c r="L198" i="9"/>
  <c r="I198" i="9"/>
  <c r="K197" i="9"/>
  <c r="K198" i="9"/>
  <c r="K196" i="9"/>
  <c r="I199" i="9"/>
  <c r="K199" i="9"/>
  <c r="I197" i="9"/>
  <c r="D200" i="9"/>
  <c r="C200" i="9"/>
  <c r="E200" i="9"/>
  <c r="F200" i="9"/>
  <c r="I196" i="9"/>
  <c r="E201" i="9"/>
  <c r="F201" i="9"/>
  <c r="C201" i="9"/>
  <c r="J197" i="9"/>
  <c r="J199" i="9"/>
  <c r="L197" i="9"/>
  <c r="L199" i="9"/>
  <c r="J196" i="9"/>
  <c r="J198" i="9"/>
  <c r="L196" i="9"/>
  <c r="J126" i="9"/>
  <c r="J86" i="9"/>
  <c r="L126" i="9"/>
  <c r="I129" i="9"/>
  <c r="J88" i="9"/>
  <c r="C55" i="9"/>
  <c r="F17" i="9"/>
  <c r="E57" i="9"/>
  <c r="L7" i="9"/>
  <c r="J37" i="9"/>
  <c r="J38" i="9"/>
  <c r="K48" i="9"/>
  <c r="K49" i="9" s="1"/>
  <c r="J129" i="9"/>
  <c r="C18" i="9"/>
  <c r="F45" i="9"/>
  <c r="F46" i="9"/>
  <c r="E6" i="9"/>
  <c r="E15" i="9"/>
  <c r="E56" i="9"/>
  <c r="J56" i="9"/>
  <c r="J59" i="9" s="1"/>
  <c r="F16" i="9"/>
  <c r="F25" i="9"/>
  <c r="J16" i="9"/>
  <c r="F26" i="9"/>
  <c r="I17" i="9"/>
  <c r="I20" i="9" s="1"/>
  <c r="C27" i="9"/>
  <c r="J17" i="9"/>
  <c r="L8" i="9"/>
  <c r="C28" i="9"/>
  <c r="F28" i="9"/>
  <c r="E37" i="9"/>
  <c r="E38" i="9"/>
  <c r="L27" i="9"/>
  <c r="L29" i="9" s="1"/>
  <c r="F38" i="9"/>
  <c r="K28" i="9"/>
  <c r="C129" i="9"/>
  <c r="C8" i="9"/>
  <c r="F47" i="9"/>
  <c r="E7" i="9"/>
  <c r="D28" i="9"/>
  <c r="C56" i="9"/>
  <c r="J6" i="9"/>
  <c r="K16" i="9"/>
  <c r="I48" i="9"/>
  <c r="I50" i="9" s="1"/>
  <c r="L58" i="9"/>
  <c r="K129" i="9"/>
  <c r="K58" i="9"/>
  <c r="K59" i="9" s="1"/>
  <c r="E8" i="9"/>
  <c r="D18" i="9"/>
  <c r="D20" i="9" s="1"/>
  <c r="C45" i="9"/>
  <c r="J27" i="9"/>
  <c r="J29" i="9" s="1"/>
  <c r="L37" i="9"/>
  <c r="L40" i="9" s="1"/>
  <c r="J48" i="9"/>
  <c r="J50" i="9" s="1"/>
  <c r="L129" i="9"/>
  <c r="F6" i="9"/>
  <c r="F9" i="9" s="1"/>
  <c r="E18" i="9"/>
  <c r="K27" i="9"/>
  <c r="I38" i="9"/>
  <c r="I39" i="9" s="1"/>
  <c r="J189" i="9"/>
  <c r="F18" i="9"/>
  <c r="C35" i="9"/>
  <c r="C46" i="9"/>
  <c r="F56" i="9"/>
  <c r="I7" i="9"/>
  <c r="L48" i="9"/>
  <c r="L50" i="9" s="1"/>
  <c r="D88" i="9"/>
  <c r="L179" i="9"/>
  <c r="D25" i="9"/>
  <c r="F35" i="9"/>
  <c r="D46" i="9"/>
  <c r="C57" i="9"/>
  <c r="J7" i="9"/>
  <c r="K17" i="9"/>
  <c r="I97" i="9"/>
  <c r="I168" i="9"/>
  <c r="I6" i="9"/>
  <c r="E100" i="9"/>
  <c r="C15" i="9"/>
  <c r="E25" i="9"/>
  <c r="C36" i="9"/>
  <c r="E46" i="9"/>
  <c r="D57" i="9"/>
  <c r="C126" i="9"/>
  <c r="K126" i="9"/>
  <c r="J158" i="9"/>
  <c r="D126" i="9"/>
  <c r="D131" i="9" s="1"/>
  <c r="I127" i="9"/>
  <c r="K148" i="9"/>
  <c r="E90" i="9"/>
  <c r="E80" i="9"/>
  <c r="F15" i="9"/>
  <c r="C26" i="9"/>
  <c r="E36" i="9"/>
  <c r="C47" i="9"/>
  <c r="F57" i="9"/>
  <c r="J127" i="9"/>
  <c r="K138" i="9"/>
  <c r="E70" i="9"/>
  <c r="C5" i="9"/>
  <c r="C16" i="9"/>
  <c r="D26" i="9"/>
  <c r="F36" i="9"/>
  <c r="D47" i="9"/>
  <c r="C58" i="9"/>
  <c r="J8" i="9"/>
  <c r="K127" i="9"/>
  <c r="E26" i="9"/>
  <c r="C37" i="9"/>
  <c r="E47" i="9"/>
  <c r="D58" i="9"/>
  <c r="L127" i="9"/>
  <c r="L118" i="9"/>
  <c r="I25" i="9"/>
  <c r="I29" i="9" s="1"/>
  <c r="I128" i="9"/>
  <c r="L109" i="9"/>
  <c r="J36" i="9"/>
  <c r="J128" i="9"/>
  <c r="L99" i="9"/>
  <c r="K128" i="9"/>
  <c r="L88" i="9"/>
  <c r="J5" i="9"/>
  <c r="L128" i="9"/>
  <c r="K79" i="9"/>
  <c r="K39" i="9"/>
  <c r="K5" i="9"/>
  <c r="K9" i="9" s="1"/>
  <c r="L69" i="9"/>
  <c r="D35" i="9"/>
  <c r="D39" i="9" s="1"/>
  <c r="D45" i="9"/>
  <c r="D55" i="9"/>
  <c r="J15" i="9"/>
  <c r="D86" i="9"/>
  <c r="K86" i="9"/>
  <c r="E35" i="9"/>
  <c r="E45" i="9"/>
  <c r="E55" i="9"/>
  <c r="L55" i="9"/>
  <c r="F126" i="9"/>
  <c r="F131" i="9" s="1"/>
  <c r="L5" i="9"/>
  <c r="E111" i="9"/>
  <c r="E120" i="9"/>
  <c r="E130" i="9"/>
  <c r="F111" i="9"/>
  <c r="F151" i="9"/>
  <c r="F171" i="9"/>
  <c r="K88" i="9"/>
  <c r="J166" i="9"/>
  <c r="J168" i="9"/>
  <c r="C150" i="9"/>
  <c r="C171" i="9"/>
  <c r="C180" i="9"/>
  <c r="C190" i="9"/>
  <c r="E141" i="9"/>
  <c r="I176" i="9"/>
  <c r="L189" i="9"/>
  <c r="J96" i="9"/>
  <c r="L136" i="9"/>
  <c r="J137" i="9"/>
  <c r="I137" i="9"/>
  <c r="I177" i="9"/>
  <c r="E170" i="9"/>
  <c r="L138" i="9"/>
  <c r="I139" i="9"/>
  <c r="J139" i="9"/>
  <c r="I117" i="9"/>
  <c r="D171" i="9"/>
  <c r="L187" i="9"/>
  <c r="L107" i="9"/>
  <c r="I157" i="9"/>
  <c r="I188" i="9"/>
  <c r="I186" i="9"/>
  <c r="I60" i="9"/>
  <c r="C71" i="9"/>
  <c r="C91" i="9"/>
  <c r="C121" i="9"/>
  <c r="C151" i="9"/>
  <c r="K187" i="9"/>
  <c r="K156" i="9"/>
  <c r="K40" i="9"/>
  <c r="E71" i="9"/>
  <c r="E101" i="9"/>
  <c r="E171" i="9"/>
  <c r="K96" i="9"/>
  <c r="I119" i="9"/>
  <c r="L156" i="9"/>
  <c r="L176" i="9"/>
  <c r="I59" i="9"/>
  <c r="C70" i="9"/>
  <c r="C81" i="9"/>
  <c r="C90" i="9"/>
  <c r="C100" i="9"/>
  <c r="C110" i="9"/>
  <c r="C120" i="9"/>
  <c r="C141" i="9"/>
  <c r="I98" i="9"/>
  <c r="K158" i="9"/>
  <c r="K177" i="9"/>
  <c r="D70" i="9"/>
  <c r="D81" i="9"/>
  <c r="D100" i="9"/>
  <c r="D111" i="9"/>
  <c r="D120" i="9"/>
  <c r="D141" i="9"/>
  <c r="D150" i="9"/>
  <c r="D160" i="9"/>
  <c r="D170" i="9"/>
  <c r="J98" i="9"/>
  <c r="L158" i="9"/>
  <c r="I178" i="9"/>
  <c r="L188" i="9"/>
  <c r="K98" i="9"/>
  <c r="I159" i="9"/>
  <c r="L178" i="9"/>
  <c r="K189" i="9"/>
  <c r="F70" i="9"/>
  <c r="F90" i="9"/>
  <c r="F110" i="9"/>
  <c r="F120" i="9"/>
  <c r="F141" i="9"/>
  <c r="F150" i="9"/>
  <c r="F170" i="9"/>
  <c r="F190" i="9"/>
  <c r="I99" i="9"/>
  <c r="I179" i="9"/>
  <c r="C161" i="9"/>
  <c r="I96" i="9"/>
  <c r="K179" i="9"/>
  <c r="I68" i="9"/>
  <c r="J66" i="9"/>
  <c r="J68" i="9"/>
  <c r="K66" i="9"/>
  <c r="K68" i="9"/>
  <c r="I67" i="9"/>
  <c r="I69" i="9"/>
  <c r="L68" i="9"/>
  <c r="J67" i="9"/>
  <c r="J69" i="9"/>
  <c r="L66" i="9"/>
  <c r="K67" i="9"/>
  <c r="K69" i="9"/>
  <c r="I66" i="9"/>
  <c r="L67" i="9"/>
  <c r="I76" i="9"/>
  <c r="J78" i="9"/>
  <c r="K76" i="9"/>
  <c r="K78" i="9"/>
  <c r="L77" i="9"/>
  <c r="L79" i="9"/>
  <c r="I78" i="9"/>
  <c r="J76" i="9"/>
  <c r="L76" i="9"/>
  <c r="L78" i="9"/>
  <c r="I77" i="9"/>
  <c r="I79" i="9"/>
  <c r="J77" i="9"/>
  <c r="J79" i="9"/>
  <c r="K77" i="9"/>
  <c r="I87" i="9"/>
  <c r="I89" i="9"/>
  <c r="J87" i="9"/>
  <c r="J89" i="9"/>
  <c r="L87" i="9"/>
  <c r="L89" i="9"/>
  <c r="L86" i="9"/>
  <c r="K87" i="9"/>
  <c r="K89" i="9"/>
  <c r="I86" i="9"/>
  <c r="I88" i="9"/>
  <c r="L96" i="9"/>
  <c r="L98" i="9"/>
  <c r="J97" i="9"/>
  <c r="J99" i="9"/>
  <c r="K97" i="9"/>
  <c r="K99" i="9"/>
  <c r="L97" i="9"/>
  <c r="I106" i="9"/>
  <c r="I108" i="9"/>
  <c r="J106" i="9"/>
  <c r="J108" i="9"/>
  <c r="L106" i="9"/>
  <c r="L108" i="9"/>
  <c r="K106" i="9"/>
  <c r="K108" i="9"/>
  <c r="I107" i="9"/>
  <c r="I109" i="9"/>
  <c r="J107" i="9"/>
  <c r="J109" i="9"/>
  <c r="K107" i="9"/>
  <c r="K109" i="9"/>
  <c r="J117" i="9"/>
  <c r="J119" i="9"/>
  <c r="K117" i="9"/>
  <c r="K119" i="9"/>
  <c r="I116" i="9"/>
  <c r="I118" i="9"/>
  <c r="L117" i="9"/>
  <c r="L119" i="9"/>
  <c r="J116" i="9"/>
  <c r="J118" i="9"/>
  <c r="K116" i="9"/>
  <c r="K118" i="9"/>
  <c r="L116" i="9"/>
  <c r="K137" i="9"/>
  <c r="K139" i="9"/>
  <c r="L137" i="9"/>
  <c r="L139" i="9"/>
  <c r="I138" i="9"/>
  <c r="I136" i="9"/>
  <c r="J136" i="9"/>
  <c r="J138" i="9"/>
  <c r="K136" i="9"/>
  <c r="I147" i="9"/>
  <c r="I149" i="9"/>
  <c r="J147" i="9"/>
  <c r="J149" i="9"/>
  <c r="L148" i="9"/>
  <c r="L147" i="9"/>
  <c r="L149" i="9"/>
  <c r="K147" i="9"/>
  <c r="I146" i="9"/>
  <c r="I148" i="9"/>
  <c r="J146" i="9"/>
  <c r="J148" i="9"/>
  <c r="L146" i="9"/>
  <c r="K149" i="9"/>
  <c r="K146" i="9"/>
  <c r="J157" i="9"/>
  <c r="J159" i="9"/>
  <c r="K157" i="9"/>
  <c r="K159" i="9"/>
  <c r="L159" i="9"/>
  <c r="I156" i="9"/>
  <c r="I158" i="9"/>
  <c r="L157" i="9"/>
  <c r="J156" i="9"/>
  <c r="K166" i="9"/>
  <c r="K168" i="9"/>
  <c r="L166" i="9"/>
  <c r="L168" i="9"/>
  <c r="I167" i="9"/>
  <c r="I169" i="9"/>
  <c r="J167" i="9"/>
  <c r="J169" i="9"/>
  <c r="K167" i="9"/>
  <c r="K169" i="9"/>
  <c r="L167" i="9"/>
  <c r="L169" i="9"/>
  <c r="I166" i="9"/>
  <c r="J176" i="9"/>
  <c r="J178" i="9"/>
  <c r="K176" i="9"/>
  <c r="K178" i="9"/>
  <c r="J177" i="9"/>
  <c r="J179" i="9"/>
  <c r="L177" i="9"/>
  <c r="J186" i="9"/>
  <c r="J188" i="9"/>
  <c r="K186" i="9"/>
  <c r="K188" i="9"/>
  <c r="I187" i="9"/>
  <c r="I189" i="9"/>
  <c r="L186" i="9"/>
  <c r="J187" i="9"/>
  <c r="D190" i="9"/>
  <c r="D180" i="9"/>
  <c r="E180" i="9"/>
  <c r="F180" i="9"/>
  <c r="E190" i="9"/>
  <c r="E191" i="9"/>
  <c r="C181" i="9"/>
  <c r="C160" i="9"/>
  <c r="E160" i="9"/>
  <c r="F160" i="9"/>
  <c r="E151" i="9"/>
  <c r="E150" i="9"/>
  <c r="E131" i="9"/>
  <c r="C101" i="9"/>
  <c r="F100" i="9"/>
  <c r="E91" i="9"/>
  <c r="F81" i="9"/>
  <c r="C191" i="9"/>
  <c r="D191" i="9"/>
  <c r="F191" i="9"/>
  <c r="C170" i="9"/>
  <c r="D161" i="9"/>
  <c r="D181" i="9"/>
  <c r="E161" i="9"/>
  <c r="E181" i="9"/>
  <c r="F161" i="9"/>
  <c r="F181" i="9"/>
  <c r="C140" i="9"/>
  <c r="D140" i="9"/>
  <c r="D151" i="9"/>
  <c r="E140" i="9"/>
  <c r="F140" i="9"/>
  <c r="D101" i="9"/>
  <c r="D110" i="9"/>
  <c r="D121" i="9"/>
  <c r="E110" i="9"/>
  <c r="E121" i="9"/>
  <c r="F101" i="9"/>
  <c r="F121" i="9"/>
  <c r="C111" i="9"/>
  <c r="D71" i="9"/>
  <c r="D80" i="9"/>
  <c r="F71" i="9"/>
  <c r="F80" i="9"/>
  <c r="F91" i="9"/>
  <c r="C80" i="9"/>
  <c r="E81" i="9"/>
  <c r="K60" i="9"/>
  <c r="L19" i="9"/>
  <c r="L20" i="9"/>
  <c r="D10" i="9"/>
  <c r="D9" i="9"/>
  <c r="D212" i="9" l="1"/>
  <c r="C212" i="9"/>
  <c r="E212" i="9"/>
  <c r="F212" i="9"/>
  <c r="L210" i="9"/>
  <c r="L211" i="9"/>
  <c r="K210" i="9"/>
  <c r="K211" i="9"/>
  <c r="J210" i="9"/>
  <c r="J211" i="9"/>
  <c r="I210" i="9"/>
  <c r="I211" i="9"/>
  <c r="E102" i="9"/>
  <c r="Q203" i="9" s="1"/>
  <c r="K10" i="9"/>
  <c r="E202" i="9"/>
  <c r="D202" i="9"/>
  <c r="F202" i="9"/>
  <c r="L39" i="9"/>
  <c r="L41" i="9" s="1"/>
  <c r="K200" i="9"/>
  <c r="K201" i="9"/>
  <c r="C202" i="9"/>
  <c r="I201" i="9"/>
  <c r="I200" i="9"/>
  <c r="J200" i="9"/>
  <c r="J201" i="9"/>
  <c r="L200" i="9"/>
  <c r="L201" i="9"/>
  <c r="L59" i="9"/>
  <c r="K29" i="9"/>
  <c r="E30" i="9"/>
  <c r="C30" i="9"/>
  <c r="K50" i="9"/>
  <c r="K51" i="9" s="1"/>
  <c r="I49" i="9"/>
  <c r="I51" i="9" s="1"/>
  <c r="L9" i="9"/>
  <c r="C19" i="9"/>
  <c r="E20" i="9"/>
  <c r="C10" i="9"/>
  <c r="F20" i="9"/>
  <c r="F130" i="9"/>
  <c r="F132" i="9" s="1"/>
  <c r="R206" i="9" s="1"/>
  <c r="K61" i="9"/>
  <c r="K20" i="9"/>
  <c r="L10" i="9"/>
  <c r="C9" i="9"/>
  <c r="C39" i="9"/>
  <c r="I40" i="9"/>
  <c r="I41" i="9" s="1"/>
  <c r="L60" i="9"/>
  <c r="J60" i="9"/>
  <c r="J61" i="9" s="1"/>
  <c r="J40" i="9"/>
  <c r="F39" i="9"/>
  <c r="D90" i="9"/>
  <c r="I19" i="9"/>
  <c r="I21" i="9" s="1"/>
  <c r="C131" i="9"/>
  <c r="F72" i="9"/>
  <c r="R200" i="9" s="1"/>
  <c r="K30" i="9"/>
  <c r="I30" i="9"/>
  <c r="I31" i="9" s="1"/>
  <c r="K19" i="9"/>
  <c r="C59" i="9"/>
  <c r="E9" i="9"/>
  <c r="D49" i="9"/>
  <c r="C112" i="9"/>
  <c r="O204" i="9" s="1"/>
  <c r="C130" i="9"/>
  <c r="F60" i="9"/>
  <c r="J131" i="9"/>
  <c r="C29" i="9"/>
  <c r="E10" i="9"/>
  <c r="F10" i="9"/>
  <c r="F11" i="9" s="1"/>
  <c r="R194" i="9" s="1"/>
  <c r="F29" i="9"/>
  <c r="C50" i="9"/>
  <c r="C182" i="9"/>
  <c r="O211" i="9" s="1"/>
  <c r="E49" i="9"/>
  <c r="F59" i="9"/>
  <c r="E39" i="9"/>
  <c r="I10" i="9"/>
  <c r="E82" i="9"/>
  <c r="Q201" i="9" s="1"/>
  <c r="J10" i="9"/>
  <c r="F19" i="9"/>
  <c r="E59" i="9"/>
  <c r="C152" i="9"/>
  <c r="O208" i="9" s="1"/>
  <c r="L130" i="9"/>
  <c r="F50" i="9"/>
  <c r="F30" i="9"/>
  <c r="E29" i="9"/>
  <c r="E92" i="9"/>
  <c r="Q202" i="9" s="1"/>
  <c r="E60" i="9"/>
  <c r="E40" i="9"/>
  <c r="J9" i="9"/>
  <c r="E122" i="9"/>
  <c r="Q205" i="9" s="1"/>
  <c r="E19" i="9"/>
  <c r="D112" i="9"/>
  <c r="P204" i="9" s="1"/>
  <c r="C40" i="9"/>
  <c r="D40" i="9"/>
  <c r="D41" i="9" s="1"/>
  <c r="P197" i="9" s="1"/>
  <c r="C60" i="9"/>
  <c r="D19" i="9"/>
  <c r="D21" i="9" s="1"/>
  <c r="P195" i="9" s="1"/>
  <c r="I9" i="9"/>
  <c r="J39" i="9"/>
  <c r="E50" i="9"/>
  <c r="J130" i="9"/>
  <c r="L30" i="9"/>
  <c r="L31" i="9" s="1"/>
  <c r="F40" i="9"/>
  <c r="F49" i="9"/>
  <c r="J20" i="9"/>
  <c r="C20" i="9"/>
  <c r="K130" i="9"/>
  <c r="D30" i="9"/>
  <c r="F112" i="9"/>
  <c r="R204" i="9" s="1"/>
  <c r="K41" i="9"/>
  <c r="D60" i="9"/>
  <c r="I131" i="9"/>
  <c r="L49" i="9"/>
  <c r="L51" i="9" s="1"/>
  <c r="C49" i="9"/>
  <c r="D59" i="9"/>
  <c r="D50" i="9"/>
  <c r="J161" i="9"/>
  <c r="I130" i="9"/>
  <c r="L131" i="9"/>
  <c r="K131" i="9"/>
  <c r="J19" i="9"/>
  <c r="C192" i="9"/>
  <c r="O212" i="9" s="1"/>
  <c r="D130" i="9"/>
  <c r="D132" i="9" s="1"/>
  <c r="P206" i="9" s="1"/>
  <c r="D29" i="9"/>
  <c r="D91" i="9"/>
  <c r="J30" i="9"/>
  <c r="J31" i="9" s="1"/>
  <c r="E72" i="9"/>
  <c r="Q200" i="9" s="1"/>
  <c r="K141" i="9"/>
  <c r="F172" i="9"/>
  <c r="R210" i="9" s="1"/>
  <c r="C72" i="9"/>
  <c r="O200" i="9" s="1"/>
  <c r="J49" i="9"/>
  <c r="J51" i="9" s="1"/>
  <c r="F152" i="9"/>
  <c r="R208" i="9" s="1"/>
  <c r="I61" i="9"/>
  <c r="F192" i="9"/>
  <c r="R212" i="9" s="1"/>
  <c r="F142" i="9"/>
  <c r="R207" i="9" s="1"/>
  <c r="E112" i="9"/>
  <c r="Q204" i="9" s="1"/>
  <c r="K100" i="9"/>
  <c r="E172" i="9"/>
  <c r="Q210" i="9" s="1"/>
  <c r="C172" i="9"/>
  <c r="O210" i="9" s="1"/>
  <c r="E132" i="9"/>
  <c r="Q206" i="9" s="1"/>
  <c r="D142" i="9"/>
  <c r="P207" i="9" s="1"/>
  <c r="C142" i="9"/>
  <c r="O207" i="9" s="1"/>
  <c r="L141" i="9"/>
  <c r="J121" i="9"/>
  <c r="C82" i="9"/>
  <c r="O201" i="9" s="1"/>
  <c r="K90" i="9"/>
  <c r="E142" i="9"/>
  <c r="Q207" i="9" s="1"/>
  <c r="D11" i="9"/>
  <c r="P194" i="9" s="1"/>
  <c r="J151" i="9"/>
  <c r="L180" i="9"/>
  <c r="L190" i="9"/>
  <c r="D152" i="9"/>
  <c r="P208" i="9" s="1"/>
  <c r="D172" i="9"/>
  <c r="P210" i="9" s="1"/>
  <c r="L170" i="9"/>
  <c r="J181" i="9"/>
  <c r="L161" i="9"/>
  <c r="J140" i="9"/>
  <c r="L90" i="9"/>
  <c r="C92" i="9"/>
  <c r="O202" i="9" s="1"/>
  <c r="D122" i="9"/>
  <c r="P205" i="9" s="1"/>
  <c r="I100" i="9"/>
  <c r="I80" i="9"/>
  <c r="K160" i="9"/>
  <c r="C122" i="9"/>
  <c r="O205" i="9" s="1"/>
  <c r="F92" i="9"/>
  <c r="R202" i="9" s="1"/>
  <c r="I181" i="9"/>
  <c r="L21" i="9"/>
  <c r="D182" i="9"/>
  <c r="P211" i="9" s="1"/>
  <c r="I150" i="9"/>
  <c r="K181" i="9"/>
  <c r="C102" i="9"/>
  <c r="O203" i="9" s="1"/>
  <c r="C162" i="9"/>
  <c r="O209" i="9" s="1"/>
  <c r="J100" i="9"/>
  <c r="K71" i="9"/>
  <c r="D162" i="9"/>
  <c r="P209" i="9" s="1"/>
  <c r="D102" i="9"/>
  <c r="P203" i="9" s="1"/>
  <c r="I171" i="9"/>
  <c r="K11" i="9"/>
  <c r="L160" i="9"/>
  <c r="K80" i="9"/>
  <c r="J71" i="9"/>
  <c r="K191" i="9"/>
  <c r="K140" i="9"/>
  <c r="I110" i="9"/>
  <c r="J90" i="9"/>
  <c r="L101" i="9"/>
  <c r="I160" i="9"/>
  <c r="D192" i="9"/>
  <c r="P212" i="9" s="1"/>
  <c r="J190" i="9"/>
  <c r="J170" i="9"/>
  <c r="J160" i="9"/>
  <c r="K151" i="9"/>
  <c r="L140" i="9"/>
  <c r="J120" i="9"/>
  <c r="K91" i="9"/>
  <c r="F122" i="9"/>
  <c r="R205" i="9" s="1"/>
  <c r="I180" i="9"/>
  <c r="J180" i="9"/>
  <c r="L151" i="9"/>
  <c r="K111" i="9"/>
  <c r="J91" i="9"/>
  <c r="L110" i="9"/>
  <c r="I191" i="9"/>
  <c r="L121" i="9"/>
  <c r="I120" i="9"/>
  <c r="L81" i="9"/>
  <c r="L71" i="9"/>
  <c r="I101" i="9"/>
  <c r="L111" i="9"/>
  <c r="J110" i="9"/>
  <c r="J81" i="9"/>
  <c r="D82" i="9"/>
  <c r="P201" i="9" s="1"/>
  <c r="K190" i="9"/>
  <c r="K161" i="9"/>
  <c r="D72" i="9"/>
  <c r="P200" i="9" s="1"/>
  <c r="E162" i="9"/>
  <c r="Q209" i="9" s="1"/>
  <c r="I170" i="9"/>
  <c r="K180" i="9"/>
  <c r="I71" i="9"/>
  <c r="I70" i="9"/>
  <c r="K70" i="9"/>
  <c r="L70" i="9"/>
  <c r="J70" i="9"/>
  <c r="L80" i="9"/>
  <c r="J80" i="9"/>
  <c r="K81" i="9"/>
  <c r="I81" i="9"/>
  <c r="I90" i="9"/>
  <c r="L91" i="9"/>
  <c r="I91" i="9"/>
  <c r="K101" i="9"/>
  <c r="J101" i="9"/>
  <c r="L100" i="9"/>
  <c r="K110" i="9"/>
  <c r="J111" i="9"/>
  <c r="I111" i="9"/>
  <c r="K120" i="9"/>
  <c r="K121" i="9"/>
  <c r="L120" i="9"/>
  <c r="I121" i="9"/>
  <c r="J141" i="9"/>
  <c r="I141" i="9"/>
  <c r="I140" i="9"/>
  <c r="K150" i="9"/>
  <c r="L150" i="9"/>
  <c r="J150" i="9"/>
  <c r="I151" i="9"/>
  <c r="I161" i="9"/>
  <c r="K171" i="9"/>
  <c r="J171" i="9"/>
  <c r="K170" i="9"/>
  <c r="L171" i="9"/>
  <c r="L181" i="9"/>
  <c r="L191" i="9"/>
  <c r="J191" i="9"/>
  <c r="I190" i="9"/>
  <c r="F182" i="9"/>
  <c r="R211" i="9" s="1"/>
  <c r="E182" i="9"/>
  <c r="Q211" i="9" s="1"/>
  <c r="E192" i="9"/>
  <c r="Q212" i="9" s="1"/>
  <c r="F162" i="9"/>
  <c r="R209" i="9" s="1"/>
  <c r="E152" i="9"/>
  <c r="Q208" i="9" s="1"/>
  <c r="F102" i="9"/>
  <c r="R203" i="9" s="1"/>
  <c r="F82" i="9"/>
  <c r="R201" i="9" s="1"/>
  <c r="L212" i="9" l="1"/>
  <c r="I212" i="9"/>
  <c r="J212" i="9"/>
  <c r="K212" i="9"/>
  <c r="D31" i="9"/>
  <c r="P196" i="9" s="1"/>
  <c r="I202" i="9"/>
  <c r="K202" i="9"/>
  <c r="K31" i="9"/>
  <c r="E31" i="9"/>
  <c r="Q196" i="9" s="1"/>
  <c r="J202" i="9"/>
  <c r="L202" i="9"/>
  <c r="C31" i="9"/>
  <c r="O196" i="9" s="1"/>
  <c r="L61" i="9"/>
  <c r="E21" i="9"/>
  <c r="Q195" i="9" s="1"/>
  <c r="K21" i="9"/>
  <c r="L11" i="9"/>
  <c r="J41" i="9"/>
  <c r="F31" i="9"/>
  <c r="R196" i="9" s="1"/>
  <c r="F41" i="9"/>
  <c r="R197" i="9" s="1"/>
  <c r="C11" i="9"/>
  <c r="O194" i="9" s="1"/>
  <c r="C21" i="9"/>
  <c r="O195" i="9" s="1"/>
  <c r="C132" i="9"/>
  <c r="O206" i="9" s="1"/>
  <c r="F21" i="9"/>
  <c r="R195" i="9" s="1"/>
  <c r="J82" i="9"/>
  <c r="E11" i="9"/>
  <c r="Q194" i="9" s="1"/>
  <c r="J152" i="9"/>
  <c r="C61" i="9"/>
  <c r="O199" i="9" s="1"/>
  <c r="C41" i="9"/>
  <c r="O197" i="9" s="1"/>
  <c r="D92" i="9"/>
  <c r="P202" i="9" s="1"/>
  <c r="F61" i="9"/>
  <c r="R199" i="9" s="1"/>
  <c r="E61" i="9"/>
  <c r="Q199" i="9" s="1"/>
  <c r="J132" i="9"/>
  <c r="E51" i="9"/>
  <c r="Q198" i="9" s="1"/>
  <c r="E41" i="9"/>
  <c r="Q197" i="9" s="1"/>
  <c r="D51" i="9"/>
  <c r="P198" i="9" s="1"/>
  <c r="C51" i="9"/>
  <c r="O198" i="9" s="1"/>
  <c r="J142" i="9"/>
  <c r="I11" i="9"/>
  <c r="F51" i="9"/>
  <c r="R198" i="9" s="1"/>
  <c r="J11" i="9"/>
  <c r="L132" i="9"/>
  <c r="J162" i="9"/>
  <c r="L92" i="9"/>
  <c r="I152" i="9"/>
  <c r="K132" i="9"/>
  <c r="I172" i="9"/>
  <c r="D61" i="9"/>
  <c r="P199" i="9" s="1"/>
  <c r="I132" i="9"/>
  <c r="J21" i="9"/>
  <c r="K142" i="9"/>
  <c r="K102" i="9"/>
  <c r="J192" i="9"/>
  <c r="L122" i="9"/>
  <c r="L192" i="9"/>
  <c r="K92" i="9"/>
  <c r="K192" i="9"/>
  <c r="J92" i="9"/>
  <c r="L162" i="9"/>
  <c r="L182" i="9"/>
  <c r="J122" i="9"/>
  <c r="L142" i="9"/>
  <c r="J172" i="9"/>
  <c r="J182" i="9"/>
  <c r="I122" i="9"/>
  <c r="K182" i="9"/>
  <c r="I102" i="9"/>
  <c r="L172" i="9"/>
  <c r="K112" i="9"/>
  <c r="K82" i="9"/>
  <c r="I192" i="9"/>
  <c r="I162" i="9"/>
  <c r="L72" i="9"/>
  <c r="K162" i="9"/>
  <c r="L102" i="9"/>
  <c r="I182" i="9"/>
  <c r="L152" i="9"/>
  <c r="L112" i="9"/>
  <c r="J112" i="9"/>
  <c r="I82" i="9"/>
  <c r="J102" i="9"/>
  <c r="L82" i="9"/>
  <c r="J72" i="9"/>
  <c r="K152" i="9"/>
  <c r="K72" i="9"/>
  <c r="I112" i="9"/>
  <c r="I92" i="9"/>
  <c r="K172" i="9"/>
  <c r="I72" i="9"/>
  <c r="K122" i="9"/>
  <c r="I14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13308BD8-E697-422E-BFAE-2FA0C1C3B661}" sourceFile="C:\Users\johannes\OneDrive - Samband íslenskra sveitarfélaga\Vinnugögn\Ársreikningar\Gagnagrunnur\Gagnagrunnurinn\Ársreikningar.accdb" keepAlive="1" name="Ársreikningar2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3" xr16:uid="{13308BD8-E697-422E-BFAE-2FA0C1C3B661}" sourceFile="C:\Users\johannes\OneDrive - Samband íslenskra sveitarfélaga\Vinnugögn\Ársreikningar\Gagnagrunnur\Gagnagrunnurinn\Ársreikningar.accdb" keepAlive="1" name="Ársreikningar21" type="5" refreshedVersion="8" background="1" saveData="1">
    <dbPr connection="Provider=Microsoft.ACE.OLEDB.12.0;User ID=Admin;Data Source=C:\Users\johannes\AppData\Local\Microsoft\Windows\INetCache\Content.MSO\6145D9BC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<sst xmlns="http://schemas.openxmlformats.org/spreadsheetml/2006/main" count="592" uniqueCount="57">
  <si>
    <t>7000 Seyðisfjörður</t>
  </si>
  <si>
    <t>7300 Fjarðabyggð</t>
  </si>
  <si>
    <t>Tekjur</t>
  </si>
  <si>
    <t>7502 Vopnafjarðarhreppur</t>
  </si>
  <si>
    <t>7505 Fljótsdalshreppur</t>
  </si>
  <si>
    <t>7509 Borgarfjarðarhreppur</t>
  </si>
  <si>
    <t>7613 Breiðdalshreppur</t>
  </si>
  <si>
    <t>7617 Djúpavogshreppur</t>
  </si>
  <si>
    <t>7620 Fljótsdalshérað</t>
  </si>
  <si>
    <t>Gjöld</t>
  </si>
  <si>
    <t>Fjármagnsliðir</t>
  </si>
  <si>
    <t>Óreglulegir liðir</t>
  </si>
  <si>
    <t>Tekjur samtals:</t>
  </si>
  <si>
    <t>Gjöld samtals:</t>
  </si>
  <si>
    <t>Tekjur/gjöld</t>
  </si>
  <si>
    <t>7400 Múlaþing</t>
  </si>
  <si>
    <t>Í núverandi mynd</t>
  </si>
  <si>
    <t>Column1</t>
  </si>
  <si>
    <t>Ár</t>
  </si>
  <si>
    <t>3.2.2 - Hlutfall tekna og gjalda</t>
  </si>
  <si>
    <t>Ath!  Allar upphæðir eru í 1000 kr.</t>
  </si>
  <si>
    <t>Sjálfbærni.is</t>
  </si>
  <si>
    <t>Obs! All amounts are 1000 ISK</t>
  </si>
  <si>
    <t>Sustainability.is</t>
  </si>
  <si>
    <t>Revenue</t>
  </si>
  <si>
    <t>Operating expenses</t>
  </si>
  <si>
    <t>Financial items</t>
  </si>
  <si>
    <t>Irregular items</t>
  </si>
  <si>
    <t>Total income</t>
  </si>
  <si>
    <t>Total expenditure</t>
  </si>
  <si>
    <t>Income/expenditure ratio</t>
  </si>
  <si>
    <t>7502 Vopnafjarðahreppur</t>
  </si>
  <si>
    <t>Ar</t>
  </si>
  <si>
    <t>í þús. kr.</t>
  </si>
  <si>
    <t>Sum of SumOfGildi</t>
  </si>
  <si>
    <t>Sveitarfelag</t>
  </si>
  <si>
    <t>Hluti</t>
  </si>
  <si>
    <t>Tegund2</t>
  </si>
  <si>
    <t>Tegund</t>
  </si>
  <si>
    <t>A_og_B_hluti</t>
  </si>
  <si>
    <t>Skatttekjur án Jöfnunarsjóðs</t>
  </si>
  <si>
    <t>Framlag Jöfnunarsjóðs</t>
  </si>
  <si>
    <t>Þjónustutekjur og aðrar tekjur</t>
  </si>
  <si>
    <t>Tekjur Total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</si>
  <si>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</si>
  <si>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</si>
  <si>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</si>
  <si>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</si>
  <si>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</si>
  <si>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 Total</t>
  </si>
  <si>
    <t>Óreglulegir liðir Total</t>
  </si>
  <si>
    <t>Rekstrarniðurstaða</t>
  </si>
  <si>
    <t>Rekstrarniðurstaða Total</t>
  </si>
  <si>
    <t>3.2.2 Hlutfall tekna og gjalda</t>
  </si>
  <si>
    <t>3.2.2 - Tekjur sem hlutfall af gjöldum sveitarfélaga á Austurlandi 2002-2021 (A og B-hluti)</t>
  </si>
  <si>
    <t>Indicator 3.2.2 - Municipal (A and B-operation) income/expenditure ratio in East Iceland 2002 - 2021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</si>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</sst>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Optima"/>
      <family val="2"/>
    </font>
    <font>
      <b/>
      <sz val="10"/>
      <color theme="1"/>
      <name val="Optima"/>
    </font>
    <font>
      <b/>
      <i/>
      <sz val="10"/>
      <color rgb="FFFF0000"/>
      <name val="Optima"/>
    </font>
    <font>
      <b/>
      <sz val="10"/>
      <name val="Optima"/>
    </font>
    <font>
      <b/>
      <sz val="14"/>
      <color theme="1"/>
      <name val="Optima"/>
    </font>
    <font>
      <sz val="10"/>
      <color theme="1"/>
      <name val="Optima"/>
    </font>
    <font>
      <i/>
      <sz val="10"/>
      <color rgb="FFFF0000"/>
      <name val="Optima"/>
    </font>
    <font>
      <sz val="11"/>
      <color theme="1"/>
      <name val="Optima"/>
      <family val="2"/>
    </font>
    <font>
      <sz val="14"/>
      <color theme="0"/>
      <name val="Calibri"/>
      <family val="2"/>
      <scheme val="minor"/>
    </font>
    <font>
      <b/>
      <sz val="10"/>
      <color rgb="FFFF0000"/>
      <name val="Optima"/>
    </font>
    <font>
      <sz val="8"/>
      <name val="Calibri"/>
      <family val="2"/>
      <scheme val="minor"/>
    </font>
    <font>
      <i/>
      <sz val="11"/>
      <color theme="1"/>
      <name val="Optima"/>
    </font>
    <font>
      <sz val="12"/>
      <color theme="0"/>
      <name val="Calibri"/>
      <family val="2"/>
      <scheme val="minor"/>
    </font>
    <font>
      <b/>
      <sz val="9"/>
      <color theme="1"/>
      <name val="Optima"/>
    </font>
    <font>
      <b/>
      <i/>
      <sz val="9"/>
      <color rgb="FFFF0000"/>
      <name val="Optima"/>
    </font>
    <font>
      <b/>
      <sz val="9"/>
      <name val="Optima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/>
      <right style="hair">
        <color rgb="FFABABAB"/>
      </right>
      <top style="medium">
        <color theme="1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medium">
        <color theme="1"/>
      </top>
      <bottom/>
      <diagonal/>
    </border>
    <border>
      <left/>
      <right style="hair">
        <color rgb="FFABABAB"/>
      </right>
      <top style="thin">
        <color rgb="FFABABAB"/>
      </top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/>
      <diagonal/>
    </border>
    <border>
      <left/>
      <right style="hair">
        <color rgb="FFABABAB"/>
      </right>
      <top style="thin">
        <color rgb="FFABABAB"/>
      </top>
      <bottom style="medium">
        <color theme="1"/>
      </bottom>
      <diagonal/>
    </border>
    <border>
      <left style="hair">
        <color rgb="FFABABAB"/>
      </left>
      <right style="hair">
        <color rgb="FFABABAB"/>
      </right>
      <top style="thin">
        <color rgb="FFABABAB"/>
      </top>
      <bottom style="medium">
        <color theme="1"/>
      </bottom>
      <diagonal/>
    </border>
    <border>
      <left/>
      <right style="hair">
        <color theme="0" tint="-0.24994659260841701"/>
      </right>
      <top style="medium">
        <color theme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1"/>
      </top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hair">
        <color rgb="FFABABAB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/>
      <diagonal/>
    </border>
    <border>
      <left style="hair">
        <color rgb="FFABABAB"/>
      </left>
      <right style="medium">
        <color indexed="64"/>
      </right>
      <top style="thin">
        <color rgb="FFABABAB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double">
        <color theme="1"/>
      </bottom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2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9" fontId="9" fillId="3" borderId="14" xfId="2" applyFont="1" applyFill="1" applyBorder="1" applyAlignment="1">
      <alignment horizontal="center"/>
    </xf>
    <xf numFmtId="9" fontId="9" fillId="3" borderId="15" xfId="2" applyFont="1" applyFill="1" applyBorder="1" applyAlignment="1">
      <alignment horizontal="center"/>
    </xf>
    <xf numFmtId="0" fontId="9" fillId="3" borderId="16" xfId="0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7" fillId="0" borderId="15" xfId="0" applyFont="1" applyBorder="1"/>
    <xf numFmtId="0" fontId="7" fillId="0" borderId="1" xfId="0" applyFont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3" fontId="11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right"/>
    </xf>
    <xf numFmtId="3" fontId="11" fillId="0" borderId="27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3" fontId="12" fillId="0" borderId="30" xfId="0" applyNumberFormat="1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3" fontId="12" fillId="0" borderId="32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right"/>
    </xf>
    <xf numFmtId="9" fontId="9" fillId="0" borderId="0" xfId="2" applyFont="1" applyFill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13" fillId="0" borderId="0" xfId="3"/>
    <xf numFmtId="0" fontId="17" fillId="0" borderId="0" xfId="3" applyFont="1"/>
    <xf numFmtId="0" fontId="19" fillId="0" borderId="24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0" fontId="21" fillId="3" borderId="33" xfId="0" applyFont="1" applyFill="1" applyBorder="1" applyAlignment="1">
      <alignment horizontal="right"/>
    </xf>
    <xf numFmtId="0" fontId="0" fillId="0" borderId="0" xfId="0" pivotButton="1"/>
    <xf numFmtId="3" fontId="0" fillId="0" borderId="0" xfId="0" pivotButton="1" applyNumberFormat="1"/>
    <xf numFmtId="3" fontId="1" fillId="0" borderId="0" xfId="0" applyNumberFormat="1" applyFont="1"/>
    <xf numFmtId="0" fontId="2" fillId="2" borderId="0" xfId="0" applyFont="1" applyFill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/>
    <xf numFmtId="164" fontId="0" fillId="0" borderId="0" xfId="0" applyNumberForma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ill="1"/>
    <xf numFmtId="10" fontId="0" fillId="0" borderId="0" xfId="0" applyNumberFormat="1" applyFill="1"/>
  </cellXfs>
  <cellStyles count="4">
    <cellStyle name="Normal" xfId="0" builtinId="0"/>
    <cellStyle name="Normal 2" xfId="3" xr:uid="{2A091592-53A7-49E2-881A-71AFAFEFE9A0}"/>
    <cellStyle name="Normal 3" xfId="1" xr:uid="{377293A3-1ACB-408D-99D2-04C482BB9145}"/>
    <cellStyle name="Percent" xfId="2" builtinId="5"/>
  </cellStyles>
  <dxfs count="89"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Hlutfall tekna og gjalda í A og B- hluta í sveitarfélögum á Austurlandi 2002-2022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Birting!$C$32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Birting!$C$33:$C$53</c:f>
              <c:numCache>
                <c:formatCode>0.00%</c:formatCode>
                <c:ptCount val="21"/>
                <c:pt idx="0">
                  <c:v>0.96179340232267874</c:v>
                </c:pt>
                <c:pt idx="1">
                  <c:v>0.83272444107761512</c:v>
                </c:pt>
                <c:pt idx="2">
                  <c:v>0.92436757159363581</c:v>
                </c:pt>
                <c:pt idx="3">
                  <c:v>0.96538928381977818</c:v>
                </c:pt>
                <c:pt idx="4">
                  <c:v>1.0818844012449342</c:v>
                </c:pt>
                <c:pt idx="5">
                  <c:v>1.1387967834051667</c:v>
                </c:pt>
                <c:pt idx="6">
                  <c:v>0.72776173756849583</c:v>
                </c:pt>
                <c:pt idx="7">
                  <c:v>0.87575752040083898</c:v>
                </c:pt>
                <c:pt idx="8">
                  <c:v>1.1680930872952093</c:v>
                </c:pt>
                <c:pt idx="9">
                  <c:v>1.0128600631931275</c:v>
                </c:pt>
                <c:pt idx="10">
                  <c:v>1.0902382473787708</c:v>
                </c:pt>
                <c:pt idx="11">
                  <c:v>1.2120660818837592</c:v>
                </c:pt>
                <c:pt idx="12">
                  <c:v>1.0676231230628614</c:v>
                </c:pt>
                <c:pt idx="13">
                  <c:v>1.1123440132434061</c:v>
                </c:pt>
                <c:pt idx="14">
                  <c:v>1.0662735806919716</c:v>
                </c:pt>
                <c:pt idx="15">
                  <c:v>1.0744747243909281</c:v>
                </c:pt>
                <c:pt idx="16">
                  <c:v>1.0999379606710959</c:v>
                </c:pt>
                <c:pt idx="17">
                  <c:v>1.0734428338511659</c:v>
                </c:pt>
                <c:pt idx="18">
                  <c:v>1.0247771402743586</c:v>
                </c:pt>
                <c:pt idx="19">
                  <c:v>1.0261260358647699</c:v>
                </c:pt>
                <c:pt idx="20">
                  <c:v>1.0030224420542033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D-41D6-908C-81099DACC70A}"/>
            </c:ext>
          </c:extLst>
        </c:ser>
        <c:ser>
          <c:idx val="2"/>
          <c:order val="1"/>
          <c:tx>
            <c:strRef>
              <c:f>Birting!$D$32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Birting!$D$33:$D$53</c:f>
              <c:numCache>
                <c:formatCode>0.00%</c:formatCode>
                <c:ptCount val="21"/>
                <c:pt idx="0">
                  <c:v>0.96529215990811679</c:v>
                </c:pt>
                <c:pt idx="1">
                  <c:v>0.94315621570233876</c:v>
                </c:pt>
                <c:pt idx="2">
                  <c:v>0.96700835145406272</c:v>
                </c:pt>
                <c:pt idx="3">
                  <c:v>1.0472234630464112</c:v>
                </c:pt>
                <c:pt idx="4">
                  <c:v>1.0450229911457751</c:v>
                </c:pt>
                <c:pt idx="5">
                  <c:v>1.0580126889186359</c:v>
                </c:pt>
                <c:pt idx="6">
                  <c:v>0.76200214237024055</c:v>
                </c:pt>
                <c:pt idx="7">
                  <c:v>0.86115483754878319</c:v>
                </c:pt>
                <c:pt idx="8">
                  <c:v>0.9821894355857933</c:v>
                </c:pt>
                <c:pt idx="9">
                  <c:v>0.95382459087742855</c:v>
                </c:pt>
                <c:pt idx="10">
                  <c:v>1.0071418139952331</c:v>
                </c:pt>
                <c:pt idx="11">
                  <c:v>1.0025809629906972</c:v>
                </c:pt>
                <c:pt idx="12">
                  <c:v>1.0606138242965941</c:v>
                </c:pt>
                <c:pt idx="13">
                  <c:v>1.0230506997593063</c:v>
                </c:pt>
                <c:pt idx="14">
                  <c:v>1.0670279674978744</c:v>
                </c:pt>
                <c:pt idx="15">
                  <c:v>1.0719754170855738</c:v>
                </c:pt>
                <c:pt idx="16">
                  <c:v>1.0674695894803046</c:v>
                </c:pt>
                <c:pt idx="17">
                  <c:v>1.0661478303655501</c:v>
                </c:pt>
                <c:pt idx="18">
                  <c:v>0.98469851132053687</c:v>
                </c:pt>
                <c:pt idx="19">
                  <c:v>1.0118549038756299</c:v>
                </c:pt>
                <c:pt idx="20">
                  <c:v>0.99122155939010603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D-41D6-908C-81099DACC70A}"/>
            </c:ext>
          </c:extLst>
        </c:ser>
        <c:ser>
          <c:idx val="3"/>
          <c:order val="2"/>
          <c:tx>
            <c:strRef>
              <c:f>Birting!$E$32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Birting!$E$33:$E$53</c:f>
              <c:numCache>
                <c:formatCode>0.00%</c:formatCode>
                <c:ptCount val="21"/>
                <c:pt idx="0">
                  <c:v>0.87239898411867933</c:v>
                </c:pt>
                <c:pt idx="1">
                  <c:v>0.83401918102242001</c:v>
                </c:pt>
                <c:pt idx="2">
                  <c:v>0.86599664308395752</c:v>
                </c:pt>
                <c:pt idx="3">
                  <c:v>0.92004002671486895</c:v>
                </c:pt>
                <c:pt idx="4">
                  <c:v>0.90471392990903676</c:v>
                </c:pt>
                <c:pt idx="5">
                  <c:v>1.0315934005093566</c:v>
                </c:pt>
                <c:pt idx="6">
                  <c:v>0.79910220842242496</c:v>
                </c:pt>
                <c:pt idx="7">
                  <c:v>0.92201263038047176</c:v>
                </c:pt>
                <c:pt idx="8">
                  <c:v>1.0785003819810079</c:v>
                </c:pt>
                <c:pt idx="9">
                  <c:v>1.5029893300267736</c:v>
                </c:pt>
                <c:pt idx="10">
                  <c:v>1.1215964936695915</c:v>
                </c:pt>
                <c:pt idx="11">
                  <c:v>1.1591125308633365</c:v>
                </c:pt>
                <c:pt idx="12">
                  <c:v>1.0460923135336697</c:v>
                </c:pt>
                <c:pt idx="13">
                  <c:v>1.0519034334836395</c:v>
                </c:pt>
                <c:pt idx="14">
                  <c:v>1.105051861140999</c:v>
                </c:pt>
                <c:pt idx="15">
                  <c:v>1.0989649550070173</c:v>
                </c:pt>
                <c:pt idx="16">
                  <c:v>0.99945868537877702</c:v>
                </c:pt>
                <c:pt idx="17">
                  <c:v>0.9101871269559606</c:v>
                </c:pt>
                <c:pt idx="18">
                  <c:v>0.94684679744981604</c:v>
                </c:pt>
                <c:pt idx="19">
                  <c:v>0.97627085754355603</c:v>
                </c:pt>
                <c:pt idx="20">
                  <c:v>1.0010869777962941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3D-41D6-908C-81099DACC70A}"/>
            </c:ext>
          </c:extLst>
        </c:ser>
        <c:ser>
          <c:idx val="4"/>
          <c:order val="3"/>
          <c:tx>
            <c:strRef>
              <c:f>Birting!$F$32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Birting!$B$33:$B$53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Birting!$F$33:$F$53</c:f>
              <c:numCache>
                <c:formatCode>0.00%</c:formatCode>
                <c:ptCount val="21"/>
                <c:pt idx="0">
                  <c:v>0.98416899846227535</c:v>
                </c:pt>
                <c:pt idx="1">
                  <c:v>1.085475719622061</c:v>
                </c:pt>
                <c:pt idx="2">
                  <c:v>2.2597472991663863</c:v>
                </c:pt>
                <c:pt idx="3">
                  <c:v>2.2451307348479586</c:v>
                </c:pt>
                <c:pt idx="4">
                  <c:v>3.2702098579116718</c:v>
                </c:pt>
                <c:pt idx="5">
                  <c:v>3.5813992084769564</c:v>
                </c:pt>
                <c:pt idx="6">
                  <c:v>1.799523295869724</c:v>
                </c:pt>
                <c:pt idx="7">
                  <c:v>1.9592259123736999</c:v>
                </c:pt>
                <c:pt idx="8">
                  <c:v>1.1615470966425145</c:v>
                </c:pt>
                <c:pt idx="9">
                  <c:v>1.0935319126179845</c:v>
                </c:pt>
                <c:pt idx="10">
                  <c:v>0.95307846174104427</c:v>
                </c:pt>
                <c:pt idx="11">
                  <c:v>0.87757596164038487</c:v>
                </c:pt>
                <c:pt idx="12">
                  <c:v>1.0119325214204145</c:v>
                </c:pt>
                <c:pt idx="13">
                  <c:v>1.1776066850672036</c:v>
                </c:pt>
                <c:pt idx="14">
                  <c:v>1.053237158526557</c:v>
                </c:pt>
                <c:pt idx="15">
                  <c:v>1.0327804925604123</c:v>
                </c:pt>
                <c:pt idx="16">
                  <c:v>1.2000513289182118</c:v>
                </c:pt>
                <c:pt idx="17">
                  <c:v>1.0032442022557344</c:v>
                </c:pt>
                <c:pt idx="18">
                  <c:v>0.79205442259187975</c:v>
                </c:pt>
                <c:pt idx="19">
                  <c:v>0.77956690343901203</c:v>
                </c:pt>
                <c:pt idx="20">
                  <c:v>0.98511263467189025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3D-41D6-908C-81099DAC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43904"/>
        <c:axId val="661939744"/>
      </c:lineChart>
      <c:catAx>
        <c:axId val="6619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39744"/>
        <c:crosses val="autoZero"/>
        <c:auto val="1"/>
        <c:lblAlgn val="ctr"/>
        <c:lblOffset val="100"/>
        <c:noMultiLvlLbl val="0"/>
      </c:catAx>
      <c:valAx>
        <c:axId val="661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19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1</xdr:row>
      <xdr:rowOff>185736</xdr:rowOff>
    </xdr:from>
    <xdr:to>
      <xdr:col>14</xdr:col>
      <xdr:colOff>457199</xdr:colOff>
      <xdr:row>29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A3059A-726F-96F9-33FC-D592D1FBF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165.443805902774" backgroundQuery="1" createdVersion="8" refreshedVersion="8" minRefreshableVersion="3" recordCount="30698" xr:uid="{A726BAAB-DBA7-4643-BF99-CE9AE74A68C1}">
  <cacheSource type="external" connectionId="3"/>
  <cacheFields count="6">
    <cacheField name="Ar" numFmtId="0">
      <sharedItems count="21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tring="0" containsBlank="1" containsNumber="1" minValue="-99783794" maxValue="118591219.0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98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  <r>
    <x v="20"/>
    <x v="0"/>
    <x v="0"/>
    <x v="0"/>
    <n v="7691164.2000000002"/>
  </r>
  <r>
    <x v="20"/>
    <x v="0"/>
    <x v="0"/>
    <x v="1"/>
    <n v="61395932.700000003"/>
  </r>
  <r>
    <x v="20"/>
    <x v="0"/>
    <x v="0"/>
    <x v="2"/>
    <n v="5466822.2000000002"/>
  </r>
  <r>
    <x v="20"/>
    <x v="0"/>
    <x v="0"/>
    <x v="3"/>
    <n v="-5752375.6000000015"/>
  </r>
  <r>
    <x v="20"/>
    <x v="0"/>
    <x v="0"/>
    <x v="4"/>
    <n v="10608300.5"/>
  </r>
  <r>
    <x v="20"/>
    <x v="0"/>
    <x v="0"/>
    <x v="5"/>
    <n v="91544443.799999997"/>
  </r>
  <r>
    <x v="20"/>
    <x v="0"/>
    <x v="0"/>
    <x v="6"/>
    <n v="0"/>
  </r>
  <r>
    <x v="20"/>
    <x v="0"/>
    <x v="0"/>
    <x v="7"/>
    <n v="-15604544.999999978"/>
  </r>
  <r>
    <x v="20"/>
    <x v="0"/>
    <x v="0"/>
    <x v="8"/>
    <n v="118591219.00000001"/>
  </r>
  <r>
    <x v="20"/>
    <x v="0"/>
    <x v="0"/>
    <x v="9"/>
    <n v="27046674"/>
  </r>
  <r>
    <x v="20"/>
    <x v="0"/>
    <x v="1"/>
    <x v="0"/>
    <n v="23515214.399999999"/>
  </r>
  <r>
    <x v="20"/>
    <x v="0"/>
    <x v="1"/>
    <x v="1"/>
    <n v="72871457.599999994"/>
  </r>
  <r>
    <x v="20"/>
    <x v="0"/>
    <x v="1"/>
    <x v="2"/>
    <n v="5543616"/>
  </r>
  <r>
    <x v="20"/>
    <x v="0"/>
    <x v="1"/>
    <x v="3"/>
    <n v="-27663239.099999998"/>
  </r>
  <r>
    <x v="20"/>
    <x v="0"/>
    <x v="1"/>
    <x v="4"/>
    <n v="10608300.5"/>
  </r>
  <r>
    <x v="20"/>
    <x v="0"/>
    <x v="1"/>
    <x v="5"/>
    <n v="106354667.59999999"/>
  </r>
  <r>
    <x v="20"/>
    <x v="0"/>
    <x v="1"/>
    <x v="6"/>
    <n v="18474955.099999998"/>
  </r>
  <r>
    <x v="20"/>
    <x v="0"/>
    <x v="1"/>
    <x v="7"/>
    <n v="5952992.0000000298"/>
  </r>
  <r>
    <x v="20"/>
    <x v="0"/>
    <x v="1"/>
    <x v="8"/>
    <n v="117882990.60000001"/>
  </r>
  <r>
    <x v="20"/>
    <x v="0"/>
    <x v="1"/>
    <x v="9"/>
    <n v="94934940.5"/>
  </r>
  <r>
    <x v="20"/>
    <x v="1"/>
    <x v="0"/>
    <x v="0"/>
    <n v="1673371"/>
  </r>
  <r>
    <x v="20"/>
    <x v="1"/>
    <x v="0"/>
    <x v="1"/>
    <n v="16362475"/>
  </r>
  <r>
    <x v="20"/>
    <x v="1"/>
    <x v="0"/>
    <x v="2"/>
    <n v="1407138"/>
  </r>
  <r>
    <x v="20"/>
    <x v="1"/>
    <x v="0"/>
    <x v="3"/>
    <n v="-2401088"/>
  </r>
  <r>
    <x v="20"/>
    <x v="1"/>
    <x v="0"/>
    <x v="4"/>
    <n v="2180298"/>
  </r>
  <r>
    <x v="20"/>
    <x v="1"/>
    <x v="0"/>
    <x v="5"/>
    <n v="23547865"/>
  </r>
  <r>
    <x v="20"/>
    <x v="1"/>
    <x v="0"/>
    <x v="6"/>
    <n v="0"/>
  </r>
  <r>
    <x v="20"/>
    <x v="1"/>
    <x v="0"/>
    <x v="7"/>
    <n v="-2047341"/>
  </r>
  <r>
    <x v="20"/>
    <x v="1"/>
    <x v="0"/>
    <x v="8"/>
    <n v="33273324"/>
  </r>
  <r>
    <x v="20"/>
    <x v="1"/>
    <x v="0"/>
    <x v="9"/>
    <n v="7890974"/>
  </r>
  <r>
    <x v="20"/>
    <x v="1"/>
    <x v="1"/>
    <x v="0"/>
    <n v="1903410"/>
  </r>
  <r>
    <x v="20"/>
    <x v="1"/>
    <x v="1"/>
    <x v="1"/>
    <n v="17240778"/>
  </r>
  <r>
    <x v="20"/>
    <x v="1"/>
    <x v="1"/>
    <x v="2"/>
    <n v="1407138"/>
  </r>
  <r>
    <x v="20"/>
    <x v="1"/>
    <x v="1"/>
    <x v="3"/>
    <n v="-3359574"/>
  </r>
  <r>
    <x v="20"/>
    <x v="1"/>
    <x v="1"/>
    <x v="4"/>
    <n v="2180298"/>
  </r>
  <r>
    <x v="20"/>
    <x v="1"/>
    <x v="1"/>
    <x v="5"/>
    <n v="23685424"/>
  </r>
  <r>
    <x v="20"/>
    <x v="1"/>
    <x v="1"/>
    <x v="6"/>
    <n v="0"/>
  </r>
  <r>
    <x v="20"/>
    <x v="1"/>
    <x v="1"/>
    <x v="7"/>
    <n v="-2082927"/>
  </r>
  <r>
    <x v="20"/>
    <x v="1"/>
    <x v="1"/>
    <x v="8"/>
    <n v="33175477"/>
  </r>
  <r>
    <x v="20"/>
    <x v="1"/>
    <x v="1"/>
    <x v="9"/>
    <n v="10157622"/>
  </r>
  <r>
    <x v="20"/>
    <x v="2"/>
    <x v="0"/>
    <x v="0"/>
    <n v="172177"/>
  </r>
  <r>
    <x v="20"/>
    <x v="2"/>
    <x v="0"/>
    <x v="1"/>
    <n v="2014259"/>
  </r>
  <r>
    <x v="20"/>
    <x v="2"/>
    <x v="0"/>
    <x v="2"/>
    <n v="265954"/>
  </r>
  <r>
    <x v="20"/>
    <x v="2"/>
    <x v="0"/>
    <x v="3"/>
    <n v="-149599"/>
  </r>
  <r>
    <x v="20"/>
    <x v="2"/>
    <x v="0"/>
    <x v="4"/>
    <n v="440240"/>
  </r>
  <r>
    <x v="20"/>
    <x v="2"/>
    <x v="0"/>
    <x v="5"/>
    <n v="3027476"/>
  </r>
  <r>
    <x v="20"/>
    <x v="2"/>
    <x v="0"/>
    <x v="6"/>
    <m/>
  </r>
  <r>
    <x v="20"/>
    <x v="2"/>
    <x v="0"/>
    <x v="7"/>
    <n v="-403052"/>
  </r>
  <r>
    <x v="20"/>
    <x v="2"/>
    <x v="0"/>
    <x v="8"/>
    <n v="4020199"/>
  </r>
  <r>
    <x v="20"/>
    <x v="2"/>
    <x v="0"/>
    <x v="9"/>
    <n v="765974"/>
  </r>
  <r>
    <x v="20"/>
    <x v="2"/>
    <x v="1"/>
    <x v="0"/>
    <n v="221942"/>
  </r>
  <r>
    <x v="20"/>
    <x v="2"/>
    <x v="1"/>
    <x v="1"/>
    <n v="2057570"/>
  </r>
  <r>
    <x v="20"/>
    <x v="2"/>
    <x v="1"/>
    <x v="2"/>
    <n v="261696"/>
  </r>
  <r>
    <x v="20"/>
    <x v="2"/>
    <x v="1"/>
    <x v="3"/>
    <n v="-314032"/>
  </r>
  <r>
    <x v="20"/>
    <x v="2"/>
    <x v="1"/>
    <x v="4"/>
    <n v="440240"/>
  </r>
  <r>
    <x v="20"/>
    <x v="2"/>
    <x v="1"/>
    <x v="5"/>
    <n v="3198133"/>
  </r>
  <r>
    <x v="20"/>
    <x v="2"/>
    <x v="1"/>
    <x v="6"/>
    <n v="7442"/>
  </r>
  <r>
    <x v="20"/>
    <x v="2"/>
    <x v="1"/>
    <x v="7"/>
    <n v="-344829"/>
  </r>
  <r>
    <x v="20"/>
    <x v="2"/>
    <x v="1"/>
    <x v="8"/>
    <n v="4016355"/>
  </r>
  <r>
    <x v="20"/>
    <x v="2"/>
    <x v="1"/>
    <x v="9"/>
    <n v="1244507"/>
  </r>
  <r>
    <x v="20"/>
    <x v="3"/>
    <x v="0"/>
    <x v="0"/>
    <n v="1204694"/>
  </r>
  <r>
    <x v="20"/>
    <x v="3"/>
    <x v="0"/>
    <x v="1"/>
    <n v="8714221"/>
  </r>
  <r>
    <x v="20"/>
    <x v="3"/>
    <x v="0"/>
    <x v="2"/>
    <n v="330607"/>
  </r>
  <r>
    <x v="20"/>
    <x v="3"/>
    <x v="0"/>
    <x v="3"/>
    <n v="-1602176"/>
  </r>
  <r>
    <x v="20"/>
    <x v="3"/>
    <x v="0"/>
    <x v="4"/>
    <n v="1467079"/>
  </r>
  <r>
    <x v="20"/>
    <x v="3"/>
    <x v="0"/>
    <x v="5"/>
    <n v="10534206"/>
  </r>
  <r>
    <x v="20"/>
    <x v="3"/>
    <x v="0"/>
    <x v="7"/>
    <n v="735971"/>
  </r>
  <r>
    <x v="20"/>
    <x v="3"/>
    <x v="0"/>
    <x v="8"/>
    <n v="16069343"/>
  </r>
  <r>
    <x v="20"/>
    <x v="3"/>
    <x v="0"/>
    <x v="9"/>
    <n v="5585453"/>
  </r>
  <r>
    <x v="20"/>
    <x v="3"/>
    <x v="1"/>
    <x v="0"/>
    <n v="1424254"/>
  </r>
  <r>
    <x v="20"/>
    <x v="3"/>
    <x v="1"/>
    <x v="1"/>
    <n v="9274121"/>
  </r>
  <r>
    <x v="20"/>
    <x v="3"/>
    <x v="1"/>
    <x v="2"/>
    <n v="330607"/>
  </r>
  <r>
    <x v="20"/>
    <x v="3"/>
    <x v="1"/>
    <x v="3"/>
    <n v="-1728712"/>
  </r>
  <r>
    <x v="20"/>
    <x v="3"/>
    <x v="1"/>
    <x v="4"/>
    <n v="1467079"/>
  </r>
  <r>
    <x v="20"/>
    <x v="3"/>
    <x v="1"/>
    <x v="5"/>
    <n v="11003906"/>
  </r>
  <r>
    <x v="20"/>
    <x v="3"/>
    <x v="1"/>
    <x v="7"/>
    <n v="1272372"/>
  </r>
  <r>
    <x v="20"/>
    <x v="3"/>
    <x v="1"/>
    <x v="8"/>
    <n v="16034841"/>
  </r>
  <r>
    <x v="20"/>
    <x v="3"/>
    <x v="1"/>
    <x v="9"/>
    <n v="7532052"/>
  </r>
  <r>
    <x v="20"/>
    <x v="4"/>
    <x v="0"/>
    <x v="0"/>
    <n v="966966"/>
  </r>
  <r>
    <x v="20"/>
    <x v="4"/>
    <x v="0"/>
    <x v="1"/>
    <n v="13803357"/>
  </r>
  <r>
    <x v="20"/>
    <x v="4"/>
    <x v="0"/>
    <x v="2"/>
    <n v="1930425"/>
  </r>
  <r>
    <x v="20"/>
    <x v="4"/>
    <x v="0"/>
    <x v="3"/>
    <n v="-2352737"/>
  </r>
  <r>
    <x v="20"/>
    <x v="4"/>
    <x v="0"/>
    <x v="4"/>
    <n v="3732893"/>
  </r>
  <r>
    <x v="20"/>
    <x v="4"/>
    <x v="0"/>
    <x v="5"/>
    <n v="18830610"/>
  </r>
  <r>
    <x v="20"/>
    <x v="4"/>
    <x v="0"/>
    <x v="6"/>
    <n v="0"/>
  </r>
  <r>
    <x v="20"/>
    <x v="4"/>
    <x v="0"/>
    <x v="7"/>
    <n v="249830"/>
  </r>
  <r>
    <x v="20"/>
    <x v="4"/>
    <x v="0"/>
    <x v="8"/>
    <n v="25246647"/>
  </r>
  <r>
    <x v="20"/>
    <x v="4"/>
    <x v="0"/>
    <x v="9"/>
    <n v="9154385"/>
  </r>
  <r>
    <x v="20"/>
    <x v="4"/>
    <x v="1"/>
    <x v="0"/>
    <n v="1431316"/>
  </r>
  <r>
    <x v="20"/>
    <x v="4"/>
    <x v="1"/>
    <x v="1"/>
    <n v="15533088"/>
  </r>
  <r>
    <x v="20"/>
    <x v="4"/>
    <x v="1"/>
    <x v="2"/>
    <n v="1939542"/>
  </r>
  <r>
    <x v="20"/>
    <x v="4"/>
    <x v="1"/>
    <x v="3"/>
    <n v="-3017861"/>
  </r>
  <r>
    <x v="20"/>
    <x v="4"/>
    <x v="1"/>
    <x v="4"/>
    <n v="3732893"/>
  </r>
  <r>
    <x v="20"/>
    <x v="4"/>
    <x v="1"/>
    <x v="5"/>
    <n v="19813508"/>
  </r>
  <r>
    <x v="20"/>
    <x v="4"/>
    <x v="1"/>
    <x v="6"/>
    <n v="0"/>
  </r>
  <r>
    <x v="20"/>
    <x v="4"/>
    <x v="1"/>
    <x v="7"/>
    <n v="890146"/>
  </r>
  <r>
    <x v="20"/>
    <x v="4"/>
    <x v="1"/>
    <x v="8"/>
    <n v="25160100"/>
  </r>
  <r>
    <x v="20"/>
    <x v="4"/>
    <x v="1"/>
    <x v="9"/>
    <n v="13732468"/>
  </r>
  <r>
    <x v="20"/>
    <x v="6"/>
    <x v="0"/>
    <x v="0"/>
    <n v="472789"/>
  </r>
  <r>
    <x v="20"/>
    <x v="6"/>
    <x v="0"/>
    <x v="1"/>
    <n v="6229979"/>
  </r>
  <r>
    <x v="20"/>
    <x v="6"/>
    <x v="0"/>
    <x v="2"/>
    <n v="244223"/>
  </r>
  <r>
    <x v="20"/>
    <x v="6"/>
    <x v="0"/>
    <x v="3"/>
    <n v="-1514199"/>
  </r>
  <r>
    <x v="20"/>
    <x v="6"/>
    <x v="0"/>
    <x v="4"/>
    <n v="2749010"/>
  </r>
  <r>
    <x v="20"/>
    <x v="6"/>
    <x v="0"/>
    <x v="5"/>
    <n v="7749019"/>
  </r>
  <r>
    <x v="20"/>
    <x v="6"/>
    <x v="0"/>
    <x v="6"/>
    <n v="0"/>
  </r>
  <r>
    <x v="20"/>
    <x v="6"/>
    <x v="0"/>
    <x v="7"/>
    <n v="-991539"/>
  </r>
  <r>
    <x v="20"/>
    <x v="6"/>
    <x v="0"/>
    <x v="8"/>
    <n v="10383599"/>
  </r>
  <r>
    <x v="20"/>
    <x v="6"/>
    <x v="0"/>
    <x v="9"/>
    <n v="2086061"/>
  </r>
  <r>
    <x v="20"/>
    <x v="6"/>
    <x v="1"/>
    <x v="0"/>
    <n v="596728"/>
  </r>
  <r>
    <x v="20"/>
    <x v="6"/>
    <x v="1"/>
    <x v="1"/>
    <n v="6723942"/>
  </r>
  <r>
    <x v="20"/>
    <x v="6"/>
    <x v="1"/>
    <x v="2"/>
    <n v="244223"/>
  </r>
  <r>
    <x v="20"/>
    <x v="6"/>
    <x v="1"/>
    <x v="3"/>
    <n v="-1697838"/>
  </r>
  <r>
    <x v="20"/>
    <x v="6"/>
    <x v="1"/>
    <x v="4"/>
    <n v="2749010"/>
  </r>
  <r>
    <x v="20"/>
    <x v="6"/>
    <x v="1"/>
    <x v="5"/>
    <n v="8062176"/>
  </r>
  <r>
    <x v="20"/>
    <x v="6"/>
    <x v="1"/>
    <x v="6"/>
    <n v="-19440"/>
  </r>
  <r>
    <x v="20"/>
    <x v="6"/>
    <x v="1"/>
    <x v="7"/>
    <n v="-898126"/>
  </r>
  <r>
    <x v="20"/>
    <x v="6"/>
    <x v="1"/>
    <x v="8"/>
    <n v="10366292"/>
  </r>
  <r>
    <x v="20"/>
    <x v="6"/>
    <x v="1"/>
    <x v="9"/>
    <n v="3330919"/>
  </r>
  <r>
    <x v="20"/>
    <x v="7"/>
    <x v="0"/>
    <x v="0"/>
    <n v="1970"/>
  </r>
  <r>
    <x v="20"/>
    <x v="7"/>
    <x v="0"/>
    <x v="1"/>
    <n v="232823.1"/>
  </r>
  <r>
    <x v="20"/>
    <x v="7"/>
    <x v="0"/>
    <x v="3"/>
    <n v="-10198.299999999999"/>
  </r>
  <r>
    <x v="20"/>
    <x v="7"/>
    <x v="0"/>
    <x v="4"/>
    <n v="12554.4"/>
  </r>
  <r>
    <x v="20"/>
    <x v="7"/>
    <x v="0"/>
    <x v="5"/>
    <n v="69486.399999999994"/>
  </r>
  <r>
    <x v="20"/>
    <x v="7"/>
    <x v="0"/>
    <x v="7"/>
    <n v="-8694.899999999976"/>
  </r>
  <r>
    <x v="20"/>
    <x v="7"/>
    <x v="0"/>
    <x v="8"/>
    <n v="255037.3"/>
  </r>
  <r>
    <x v="20"/>
    <x v="7"/>
    <x v="0"/>
    <x v="9"/>
    <n v="38191.199999999997"/>
  </r>
  <r>
    <x v="20"/>
    <x v="7"/>
    <x v="1"/>
    <x v="0"/>
    <n v="21048.2"/>
  </r>
  <r>
    <x v="20"/>
    <x v="7"/>
    <x v="1"/>
    <x v="1"/>
    <n v="278977.40000000002"/>
  </r>
  <r>
    <x v="20"/>
    <x v="7"/>
    <x v="1"/>
    <x v="3"/>
    <n v="-55678.9"/>
  </r>
  <r>
    <x v="20"/>
    <x v="7"/>
    <x v="1"/>
    <x v="4"/>
    <n v="12554.4"/>
  </r>
  <r>
    <x v="20"/>
    <x v="7"/>
    <x v="1"/>
    <x v="5"/>
    <n v="88260.1"/>
  </r>
  <r>
    <x v="20"/>
    <x v="7"/>
    <x v="1"/>
    <x v="7"/>
    <n v="-19900.799999999967"/>
  </r>
  <r>
    <x v="20"/>
    <x v="7"/>
    <x v="1"/>
    <x v="8"/>
    <n v="255037.3"/>
  </r>
  <r>
    <x v="20"/>
    <x v="7"/>
    <x v="1"/>
    <x v="9"/>
    <n v="156472.1"/>
  </r>
  <r>
    <x v="20"/>
    <x v="8"/>
    <x v="0"/>
    <x v="0"/>
    <n v="713453"/>
  </r>
  <r>
    <x v="20"/>
    <x v="8"/>
    <x v="0"/>
    <x v="1"/>
    <n v="8218311"/>
  </r>
  <r>
    <x v="20"/>
    <x v="8"/>
    <x v="0"/>
    <x v="2"/>
    <n v="621709"/>
  </r>
  <r>
    <x v="20"/>
    <x v="8"/>
    <x v="0"/>
    <x v="3"/>
    <n v="-791814"/>
  </r>
  <r>
    <x v="20"/>
    <x v="8"/>
    <x v="0"/>
    <x v="4"/>
    <n v="3481079"/>
  </r>
  <r>
    <x v="20"/>
    <x v="8"/>
    <x v="0"/>
    <x v="5"/>
    <n v="10554103"/>
  </r>
  <r>
    <x v="20"/>
    <x v="8"/>
    <x v="0"/>
    <x v="6"/>
    <m/>
  </r>
  <r>
    <x v="20"/>
    <x v="8"/>
    <x v="0"/>
    <x v="7"/>
    <n v="476106"/>
  </r>
  <r>
    <x v="20"/>
    <x v="8"/>
    <x v="0"/>
    <x v="8"/>
    <n v="15214096"/>
  </r>
  <r>
    <x v="20"/>
    <x v="8"/>
    <x v="0"/>
    <x v="9"/>
    <n v="2680321"/>
  </r>
  <r>
    <x v="20"/>
    <x v="8"/>
    <x v="1"/>
    <x v="0"/>
    <n v="1942898"/>
  </r>
  <r>
    <x v="20"/>
    <x v="8"/>
    <x v="1"/>
    <x v="1"/>
    <n v="11153480"/>
  </r>
  <r>
    <x v="20"/>
    <x v="8"/>
    <x v="1"/>
    <x v="2"/>
    <n v="657449"/>
  </r>
  <r>
    <x v="20"/>
    <x v="8"/>
    <x v="1"/>
    <x v="3"/>
    <n v="-2864143"/>
  </r>
  <r>
    <x v="20"/>
    <x v="8"/>
    <x v="1"/>
    <x v="4"/>
    <n v="3481079"/>
  </r>
  <r>
    <x v="20"/>
    <x v="8"/>
    <x v="1"/>
    <x v="5"/>
    <n v="13104177"/>
  </r>
  <r>
    <x v="20"/>
    <x v="8"/>
    <x v="1"/>
    <x v="6"/>
    <n v="-529604"/>
  </r>
  <r>
    <x v="20"/>
    <x v="8"/>
    <x v="1"/>
    <x v="7"/>
    <n v="1084825"/>
  </r>
  <r>
    <x v="20"/>
    <x v="8"/>
    <x v="1"/>
    <x v="8"/>
    <n v="15152675"/>
  </r>
  <r>
    <x v="20"/>
    <x v="8"/>
    <x v="1"/>
    <x v="9"/>
    <n v="12702822"/>
  </r>
  <r>
    <x v="20"/>
    <x v="9"/>
    <x v="0"/>
    <x v="0"/>
    <n v="264780"/>
  </r>
  <r>
    <x v="20"/>
    <x v="9"/>
    <x v="0"/>
    <x v="1"/>
    <n v="1341776"/>
  </r>
  <r>
    <x v="20"/>
    <x v="9"/>
    <x v="0"/>
    <x v="2"/>
    <n v="78479"/>
  </r>
  <r>
    <x v="20"/>
    <x v="9"/>
    <x v="0"/>
    <x v="3"/>
    <n v="-18678"/>
  </r>
  <r>
    <x v="20"/>
    <x v="9"/>
    <x v="0"/>
    <x v="4"/>
    <n v="946351"/>
  </r>
  <r>
    <x v="20"/>
    <x v="9"/>
    <x v="0"/>
    <x v="5"/>
    <n v="2345508"/>
  </r>
  <r>
    <x v="20"/>
    <x v="9"/>
    <x v="0"/>
    <x v="7"/>
    <n v="387877"/>
  </r>
  <r>
    <x v="20"/>
    <x v="9"/>
    <x v="0"/>
    <x v="8"/>
    <n v="3009669"/>
  </r>
  <r>
    <x v="20"/>
    <x v="9"/>
    <x v="0"/>
    <x v="9"/>
    <n v="481078"/>
  </r>
  <r>
    <x v="20"/>
    <x v="9"/>
    <x v="1"/>
    <x v="0"/>
    <n v="346795"/>
  </r>
  <r>
    <x v="20"/>
    <x v="9"/>
    <x v="1"/>
    <x v="1"/>
    <n v="1457272"/>
  </r>
  <r>
    <x v="20"/>
    <x v="9"/>
    <x v="1"/>
    <x v="2"/>
    <n v="83748"/>
  </r>
  <r>
    <x v="20"/>
    <x v="9"/>
    <x v="1"/>
    <x v="3"/>
    <n v="-166836"/>
  </r>
  <r>
    <x v="20"/>
    <x v="9"/>
    <x v="1"/>
    <x v="4"/>
    <n v="946351"/>
  </r>
  <r>
    <x v="20"/>
    <x v="9"/>
    <x v="1"/>
    <x v="5"/>
    <n v="2452932"/>
  </r>
  <r>
    <x v="20"/>
    <x v="9"/>
    <x v="1"/>
    <x v="7"/>
    <n v="429207"/>
  </r>
  <r>
    <x v="20"/>
    <x v="9"/>
    <x v="1"/>
    <x v="8"/>
    <n v="3006054"/>
  </r>
  <r>
    <x v="20"/>
    <x v="9"/>
    <x v="1"/>
    <x v="9"/>
    <n v="984385"/>
  </r>
  <r>
    <x v="20"/>
    <x v="12"/>
    <x v="0"/>
    <x v="0"/>
    <n v="49613"/>
  </r>
  <r>
    <x v="20"/>
    <x v="12"/>
    <x v="0"/>
    <x v="1"/>
    <n v="648066"/>
  </r>
  <r>
    <x v="20"/>
    <x v="12"/>
    <x v="0"/>
    <x v="2"/>
    <n v="25723"/>
  </r>
  <r>
    <x v="20"/>
    <x v="12"/>
    <x v="0"/>
    <x v="3"/>
    <n v="-116761"/>
  </r>
  <r>
    <x v="20"/>
    <x v="12"/>
    <x v="0"/>
    <x v="4"/>
    <n v="423514"/>
  </r>
  <r>
    <x v="20"/>
    <x v="12"/>
    <x v="0"/>
    <x v="5"/>
    <n v="902818"/>
  </r>
  <r>
    <x v="20"/>
    <x v="12"/>
    <x v="0"/>
    <x v="6"/>
    <n v="0"/>
  </r>
  <r>
    <x v="20"/>
    <x v="12"/>
    <x v="0"/>
    <x v="7"/>
    <n v="-140584"/>
  </r>
  <r>
    <x v="20"/>
    <x v="12"/>
    <x v="0"/>
    <x v="8"/>
    <n v="1030067"/>
  </r>
  <r>
    <x v="20"/>
    <x v="12"/>
    <x v="0"/>
    <x v="9"/>
    <n v="148816"/>
  </r>
  <r>
    <x v="20"/>
    <x v="12"/>
    <x v="1"/>
    <x v="0"/>
    <n v="64104"/>
  </r>
  <r>
    <x v="20"/>
    <x v="12"/>
    <x v="1"/>
    <x v="1"/>
    <n v="663853"/>
  </r>
  <r>
    <x v="20"/>
    <x v="12"/>
    <x v="1"/>
    <x v="2"/>
    <n v="26124"/>
  </r>
  <r>
    <x v="20"/>
    <x v="12"/>
    <x v="1"/>
    <x v="3"/>
    <n v="-122975"/>
  </r>
  <r>
    <x v="20"/>
    <x v="12"/>
    <x v="1"/>
    <x v="4"/>
    <n v="423514"/>
  </r>
  <r>
    <x v="20"/>
    <x v="12"/>
    <x v="1"/>
    <x v="5"/>
    <n v="917913"/>
  </r>
  <r>
    <x v="20"/>
    <x v="12"/>
    <x v="1"/>
    <x v="6"/>
    <n v="0"/>
  </r>
  <r>
    <x v="20"/>
    <x v="12"/>
    <x v="1"/>
    <x v="7"/>
    <n v="-108783"/>
  </r>
  <r>
    <x v="20"/>
    <x v="12"/>
    <x v="1"/>
    <x v="8"/>
    <n v="1030067"/>
  </r>
  <r>
    <x v="20"/>
    <x v="12"/>
    <x v="1"/>
    <x v="9"/>
    <n v="232605"/>
  </r>
  <r>
    <x v="20"/>
    <x v="76"/>
    <x v="0"/>
    <x v="0"/>
    <n v="228026"/>
  </r>
  <r>
    <x v="20"/>
    <x v="76"/>
    <x v="0"/>
    <x v="1"/>
    <n v="1877513"/>
  </r>
  <r>
    <x v="20"/>
    <x v="76"/>
    <x v="0"/>
    <x v="2"/>
    <n v="103592"/>
  </r>
  <r>
    <x v="20"/>
    <x v="76"/>
    <x v="0"/>
    <x v="3"/>
    <n v="-249200"/>
  </r>
  <r>
    <x v="20"/>
    <x v="76"/>
    <x v="0"/>
    <x v="4"/>
    <n v="1126618"/>
  </r>
  <r>
    <x v="20"/>
    <x v="76"/>
    <x v="0"/>
    <x v="5"/>
    <n v="2694871"/>
  </r>
  <r>
    <x v="20"/>
    <x v="76"/>
    <x v="0"/>
    <x v="6"/>
    <n v="0"/>
  </r>
  <r>
    <x v="20"/>
    <x v="76"/>
    <x v="0"/>
    <x v="7"/>
    <n v="19946"/>
  </r>
  <r>
    <x v="20"/>
    <x v="76"/>
    <x v="0"/>
    <x v="8"/>
    <n v="3269994"/>
  </r>
  <r>
    <x v="20"/>
    <x v="76"/>
    <x v="0"/>
    <x v="9"/>
    <n v="776536"/>
  </r>
  <r>
    <x v="20"/>
    <x v="76"/>
    <x v="1"/>
    <x v="0"/>
    <n v="280395"/>
  </r>
  <r>
    <x v="20"/>
    <x v="76"/>
    <x v="1"/>
    <x v="1"/>
    <n v="1899646"/>
  </r>
  <r>
    <x v="20"/>
    <x v="76"/>
    <x v="1"/>
    <x v="2"/>
    <n v="116452"/>
  </r>
  <r>
    <x v="20"/>
    <x v="76"/>
    <x v="1"/>
    <x v="3"/>
    <n v="-396485"/>
  </r>
  <r>
    <x v="20"/>
    <x v="76"/>
    <x v="1"/>
    <x v="4"/>
    <n v="1126618"/>
  </r>
  <r>
    <x v="20"/>
    <x v="76"/>
    <x v="1"/>
    <x v="5"/>
    <n v="2792049"/>
  </r>
  <r>
    <x v="20"/>
    <x v="76"/>
    <x v="1"/>
    <x v="6"/>
    <n v="0"/>
  </r>
  <r>
    <x v="20"/>
    <x v="76"/>
    <x v="1"/>
    <x v="7"/>
    <n v="-34289"/>
  </r>
  <r>
    <x v="20"/>
    <x v="76"/>
    <x v="1"/>
    <x v="8"/>
    <n v="3262570"/>
  </r>
  <r>
    <x v="20"/>
    <x v="76"/>
    <x v="1"/>
    <x v="9"/>
    <n v="1061550"/>
  </r>
  <r>
    <x v="20"/>
    <x v="13"/>
    <x v="0"/>
    <x v="0"/>
    <n v="311991.7"/>
  </r>
  <r>
    <x v="20"/>
    <x v="13"/>
    <x v="0"/>
    <x v="1"/>
    <n v="2898642.3"/>
  </r>
  <r>
    <x v="20"/>
    <x v="13"/>
    <x v="0"/>
    <x v="2"/>
    <n v="501492.9"/>
  </r>
  <r>
    <x v="20"/>
    <x v="13"/>
    <x v="0"/>
    <x v="3"/>
    <n v="290123.90000000002"/>
  </r>
  <r>
    <x v="20"/>
    <x v="13"/>
    <x v="0"/>
    <x v="4"/>
    <n v="1733884.6"/>
  </r>
  <r>
    <x v="20"/>
    <x v="13"/>
    <x v="0"/>
    <x v="5"/>
    <n v="5575481.5"/>
  </r>
  <r>
    <x v="20"/>
    <x v="13"/>
    <x v="0"/>
    <x v="6"/>
    <n v="96592.1"/>
  </r>
  <r>
    <x v="20"/>
    <x v="13"/>
    <x v="0"/>
    <x v="7"/>
    <n v="-54824.699999997363"/>
  </r>
  <r>
    <x v="20"/>
    <x v="13"/>
    <x v="0"/>
    <x v="8"/>
    <n v="6079564.2999999998"/>
  </r>
  <r>
    <x v="20"/>
    <x v="13"/>
    <x v="0"/>
    <x v="9"/>
    <n v="1032618.8"/>
  </r>
  <r>
    <x v="20"/>
    <x v="13"/>
    <x v="1"/>
    <x v="0"/>
    <n v="338905.2"/>
  </r>
  <r>
    <x v="20"/>
    <x v="13"/>
    <x v="1"/>
    <x v="1"/>
    <n v="3018285"/>
  </r>
  <r>
    <x v="20"/>
    <x v="13"/>
    <x v="1"/>
    <x v="2"/>
    <n v="504457.9"/>
  </r>
  <r>
    <x v="20"/>
    <x v="13"/>
    <x v="1"/>
    <x v="3"/>
    <n v="276811.09999999998"/>
  </r>
  <r>
    <x v="20"/>
    <x v="13"/>
    <x v="1"/>
    <x v="4"/>
    <n v="1733884.6"/>
  </r>
  <r>
    <x v="20"/>
    <x v="13"/>
    <x v="1"/>
    <x v="5"/>
    <n v="6658573.0999999996"/>
  </r>
  <r>
    <x v="20"/>
    <x v="13"/>
    <x v="1"/>
    <x v="6"/>
    <n v="55647.1"/>
  </r>
  <r>
    <x v="20"/>
    <x v="13"/>
    <x v="1"/>
    <x v="7"/>
    <n v="-101306.19999999853"/>
  </r>
  <r>
    <x v="20"/>
    <x v="13"/>
    <x v="1"/>
    <x v="8"/>
    <n v="6064981.4000000004"/>
  </r>
  <r>
    <x v="20"/>
    <x v="13"/>
    <x v="1"/>
    <x v="9"/>
    <n v="2287590.7999999998"/>
  </r>
  <r>
    <x v="20"/>
    <x v="74"/>
    <x v="0"/>
    <x v="0"/>
    <n v="1185"/>
  </r>
  <r>
    <x v="20"/>
    <x v="74"/>
    <x v="0"/>
    <x v="1"/>
    <n v="137514"/>
  </r>
  <r>
    <x v="20"/>
    <x v="74"/>
    <x v="0"/>
    <x v="2"/>
    <n v="0"/>
  </r>
  <r>
    <x v="20"/>
    <x v="74"/>
    <x v="0"/>
    <x v="3"/>
    <n v="-484"/>
  </r>
  <r>
    <x v="20"/>
    <x v="74"/>
    <x v="0"/>
    <x v="4"/>
    <n v="181"/>
  </r>
  <r>
    <x v="20"/>
    <x v="74"/>
    <x v="0"/>
    <x v="5"/>
    <n v="18684"/>
  </r>
  <r>
    <x v="20"/>
    <x v="74"/>
    <x v="0"/>
    <x v="7"/>
    <n v="-24611"/>
  </r>
  <r>
    <x v="20"/>
    <x v="74"/>
    <x v="0"/>
    <x v="8"/>
    <n v="102566"/>
  </r>
  <r>
    <x v="20"/>
    <x v="74"/>
    <x v="0"/>
    <x v="9"/>
    <n v="30509"/>
  </r>
  <r>
    <x v="20"/>
    <x v="74"/>
    <x v="1"/>
    <x v="0"/>
    <n v="3538"/>
  </r>
  <r>
    <x v="20"/>
    <x v="74"/>
    <x v="1"/>
    <x v="1"/>
    <n v="141241"/>
  </r>
  <r>
    <x v="20"/>
    <x v="74"/>
    <x v="1"/>
    <x v="2"/>
    <n v="0"/>
  </r>
  <r>
    <x v="20"/>
    <x v="74"/>
    <x v="1"/>
    <x v="3"/>
    <n v="-5165"/>
  </r>
  <r>
    <x v="20"/>
    <x v="74"/>
    <x v="1"/>
    <x v="4"/>
    <n v="181"/>
  </r>
  <r>
    <x v="20"/>
    <x v="74"/>
    <x v="1"/>
    <x v="5"/>
    <n v="21922"/>
  </r>
  <r>
    <x v="20"/>
    <x v="74"/>
    <x v="1"/>
    <x v="7"/>
    <n v="-21162"/>
  </r>
  <r>
    <x v="20"/>
    <x v="74"/>
    <x v="1"/>
    <x v="8"/>
    <n v="102290"/>
  </r>
  <r>
    <x v="20"/>
    <x v="74"/>
    <x v="1"/>
    <x v="9"/>
    <n v="48233"/>
  </r>
  <r>
    <x v="20"/>
    <x v="14"/>
    <x v="0"/>
    <x v="0"/>
    <n v="43520.3"/>
  </r>
  <r>
    <x v="20"/>
    <x v="14"/>
    <x v="0"/>
    <x v="1"/>
    <n v="458008.4"/>
  </r>
  <r>
    <x v="20"/>
    <x v="14"/>
    <x v="0"/>
    <x v="2"/>
    <n v="0"/>
  </r>
  <r>
    <x v="20"/>
    <x v="14"/>
    <x v="0"/>
    <x v="3"/>
    <n v="127879.5"/>
  </r>
  <r>
    <x v="20"/>
    <x v="14"/>
    <x v="0"/>
    <x v="4"/>
    <n v="25855.9"/>
  </r>
  <r>
    <x v="20"/>
    <x v="14"/>
    <x v="0"/>
    <x v="5"/>
    <n v="588623.30000000005"/>
  </r>
  <r>
    <x v="20"/>
    <x v="14"/>
    <x v="0"/>
    <x v="6"/>
    <m/>
  </r>
  <r>
    <x v="20"/>
    <x v="14"/>
    <x v="0"/>
    <x v="7"/>
    <n v="284759.99999999977"/>
  </r>
  <r>
    <x v="20"/>
    <x v="14"/>
    <x v="0"/>
    <x v="8"/>
    <n v="1135572.7"/>
  </r>
  <r>
    <x v="20"/>
    <x v="14"/>
    <x v="0"/>
    <x v="9"/>
    <n v="85603.9"/>
  </r>
  <r>
    <x v="20"/>
    <x v="14"/>
    <x v="1"/>
    <x v="0"/>
    <n v="48381.3"/>
  </r>
  <r>
    <x v="20"/>
    <x v="14"/>
    <x v="1"/>
    <x v="1"/>
    <n v="461405.1"/>
  </r>
  <r>
    <x v="20"/>
    <x v="14"/>
    <x v="1"/>
    <x v="2"/>
    <n v="0"/>
  </r>
  <r>
    <x v="20"/>
    <x v="14"/>
    <x v="1"/>
    <x v="3"/>
    <n v="124802.69999999998"/>
  </r>
  <r>
    <x v="20"/>
    <x v="14"/>
    <x v="1"/>
    <x v="4"/>
    <n v="25855.9"/>
  </r>
  <r>
    <x v="20"/>
    <x v="14"/>
    <x v="1"/>
    <x v="5"/>
    <n v="588623.30000000005"/>
  </r>
  <r>
    <x v="20"/>
    <x v="14"/>
    <x v="1"/>
    <x v="6"/>
    <n v="-227"/>
  </r>
  <r>
    <x v="20"/>
    <x v="14"/>
    <x v="1"/>
    <x v="7"/>
    <n v="284857.69999999995"/>
  </r>
  <r>
    <x v="20"/>
    <x v="14"/>
    <x v="1"/>
    <x v="8"/>
    <n v="1135344.8"/>
  </r>
  <r>
    <x v="20"/>
    <x v="14"/>
    <x v="1"/>
    <x v="9"/>
    <n v="97491"/>
  </r>
  <r>
    <x v="20"/>
    <x v="15"/>
    <x v="0"/>
    <x v="0"/>
    <n v="148684"/>
  </r>
  <r>
    <x v="20"/>
    <x v="15"/>
    <x v="0"/>
    <x v="1"/>
    <n v="1631365"/>
  </r>
  <r>
    <x v="20"/>
    <x v="15"/>
    <x v="0"/>
    <x v="2"/>
    <n v="110693"/>
  </r>
  <r>
    <x v="20"/>
    <x v="15"/>
    <x v="0"/>
    <x v="3"/>
    <n v="-108063"/>
  </r>
  <r>
    <x v="20"/>
    <x v="15"/>
    <x v="0"/>
    <x v="4"/>
    <n v="1361936"/>
  </r>
  <r>
    <x v="20"/>
    <x v="15"/>
    <x v="0"/>
    <x v="5"/>
    <n v="2890251"/>
  </r>
  <r>
    <x v="20"/>
    <x v="15"/>
    <x v="0"/>
    <x v="6"/>
    <n v="0"/>
  </r>
  <r>
    <x v="20"/>
    <x v="15"/>
    <x v="0"/>
    <x v="7"/>
    <n v="304519"/>
  </r>
  <r>
    <x v="20"/>
    <x v="15"/>
    <x v="0"/>
    <x v="8"/>
    <n v="3091133"/>
  </r>
  <r>
    <x v="20"/>
    <x v="15"/>
    <x v="0"/>
    <x v="9"/>
    <n v="740506"/>
  </r>
  <r>
    <x v="20"/>
    <x v="15"/>
    <x v="1"/>
    <x v="0"/>
    <n v="233362"/>
  </r>
  <r>
    <x v="20"/>
    <x v="15"/>
    <x v="1"/>
    <x v="1"/>
    <n v="1943344"/>
  </r>
  <r>
    <x v="20"/>
    <x v="15"/>
    <x v="1"/>
    <x v="2"/>
    <n v="110693"/>
  </r>
  <r>
    <x v="20"/>
    <x v="15"/>
    <x v="1"/>
    <x v="3"/>
    <n v="-224575"/>
  </r>
  <r>
    <x v="20"/>
    <x v="15"/>
    <x v="1"/>
    <x v="4"/>
    <n v="1361936"/>
  </r>
  <r>
    <x v="20"/>
    <x v="15"/>
    <x v="1"/>
    <x v="5"/>
    <n v="3174728"/>
  </r>
  <r>
    <x v="20"/>
    <x v="15"/>
    <x v="1"/>
    <x v="6"/>
    <n v="2330"/>
  </r>
  <r>
    <x v="20"/>
    <x v="15"/>
    <x v="1"/>
    <x v="7"/>
    <n v="368259"/>
  </r>
  <r>
    <x v="20"/>
    <x v="15"/>
    <x v="1"/>
    <x v="8"/>
    <n v="3066195"/>
  </r>
  <r>
    <x v="20"/>
    <x v="15"/>
    <x v="1"/>
    <x v="9"/>
    <n v="1624500"/>
  </r>
  <r>
    <x v="20"/>
    <x v="16"/>
    <x v="0"/>
    <x v="0"/>
    <n v="49948"/>
  </r>
  <r>
    <x v="20"/>
    <x v="16"/>
    <x v="0"/>
    <x v="1"/>
    <n v="402338"/>
  </r>
  <r>
    <x v="20"/>
    <x v="16"/>
    <x v="0"/>
    <x v="2"/>
    <n v="6402"/>
  </r>
  <r>
    <x v="20"/>
    <x v="16"/>
    <x v="0"/>
    <x v="3"/>
    <n v="-145591"/>
  </r>
  <r>
    <x v="20"/>
    <x v="16"/>
    <x v="0"/>
    <x v="4"/>
    <n v="331763"/>
  </r>
  <r>
    <x v="20"/>
    <x v="16"/>
    <x v="0"/>
    <x v="5"/>
    <n v="681951"/>
  </r>
  <r>
    <x v="20"/>
    <x v="16"/>
    <x v="0"/>
    <x v="7"/>
    <n v="-28467"/>
  </r>
  <r>
    <x v="20"/>
    <x v="16"/>
    <x v="0"/>
    <x v="8"/>
    <n v="757255"/>
  </r>
  <r>
    <x v="20"/>
    <x v="16"/>
    <x v="0"/>
    <x v="9"/>
    <n v="168745"/>
  </r>
  <r>
    <x v="20"/>
    <x v="16"/>
    <x v="1"/>
    <x v="0"/>
    <n v="71601"/>
  </r>
  <r>
    <x v="20"/>
    <x v="16"/>
    <x v="1"/>
    <x v="1"/>
    <n v="485164"/>
  </r>
  <r>
    <x v="20"/>
    <x v="16"/>
    <x v="1"/>
    <x v="2"/>
    <n v="6402"/>
  </r>
  <r>
    <x v="20"/>
    <x v="16"/>
    <x v="1"/>
    <x v="3"/>
    <n v="-176167"/>
  </r>
  <r>
    <x v="20"/>
    <x v="16"/>
    <x v="1"/>
    <x v="4"/>
    <n v="331763"/>
  </r>
  <r>
    <x v="20"/>
    <x v="16"/>
    <x v="1"/>
    <x v="5"/>
    <n v="742430"/>
  </r>
  <r>
    <x v="20"/>
    <x v="16"/>
    <x v="1"/>
    <x v="7"/>
    <n v="49566"/>
  </r>
  <r>
    <x v="20"/>
    <x v="16"/>
    <x v="1"/>
    <x v="8"/>
    <n v="757255"/>
  </r>
  <r>
    <x v="20"/>
    <x v="16"/>
    <x v="1"/>
    <x v="9"/>
    <n v="442312"/>
  </r>
  <r>
    <x v="20"/>
    <x v="19"/>
    <x v="0"/>
    <x v="0"/>
    <n v="3387"/>
  </r>
  <r>
    <x v="20"/>
    <x v="19"/>
    <x v="0"/>
    <x v="1"/>
    <n v="72984"/>
  </r>
  <r>
    <x v="20"/>
    <x v="19"/>
    <x v="0"/>
    <x v="2"/>
    <n v="0"/>
  </r>
  <r>
    <x v="20"/>
    <x v="19"/>
    <x v="0"/>
    <x v="3"/>
    <n v="10740"/>
  </r>
  <r>
    <x v="20"/>
    <x v="19"/>
    <x v="0"/>
    <x v="4"/>
    <n v="74125"/>
  </r>
  <r>
    <x v="20"/>
    <x v="19"/>
    <x v="0"/>
    <x v="5"/>
    <n v="92738"/>
  </r>
  <r>
    <x v="20"/>
    <x v="19"/>
    <x v="0"/>
    <x v="6"/>
    <n v="0"/>
  </r>
  <r>
    <x v="20"/>
    <x v="19"/>
    <x v="0"/>
    <x v="7"/>
    <n v="22735"/>
  </r>
  <r>
    <x v="20"/>
    <x v="19"/>
    <x v="0"/>
    <x v="8"/>
    <n v="84084"/>
  </r>
  <r>
    <x v="20"/>
    <x v="19"/>
    <x v="0"/>
    <x v="9"/>
    <n v="22895"/>
  </r>
  <r>
    <x v="20"/>
    <x v="19"/>
    <x v="1"/>
    <x v="0"/>
    <n v="5033"/>
  </r>
  <r>
    <x v="20"/>
    <x v="19"/>
    <x v="1"/>
    <x v="1"/>
    <n v="73340"/>
  </r>
  <r>
    <x v="20"/>
    <x v="19"/>
    <x v="1"/>
    <x v="2"/>
    <n v="0"/>
  </r>
  <r>
    <x v="20"/>
    <x v="19"/>
    <x v="1"/>
    <x v="3"/>
    <n v="2288"/>
  </r>
  <r>
    <x v="20"/>
    <x v="19"/>
    <x v="1"/>
    <x v="4"/>
    <n v="74125"/>
  </r>
  <r>
    <x v="20"/>
    <x v="19"/>
    <x v="1"/>
    <x v="5"/>
    <n v="92738"/>
  </r>
  <r>
    <x v="20"/>
    <x v="19"/>
    <x v="1"/>
    <x v="6"/>
    <n v="0"/>
  </r>
  <r>
    <x v="20"/>
    <x v="19"/>
    <x v="1"/>
    <x v="7"/>
    <n v="14779"/>
  </r>
  <r>
    <x v="20"/>
    <x v="19"/>
    <x v="1"/>
    <x v="8"/>
    <n v="84084"/>
  </r>
  <r>
    <x v="20"/>
    <x v="19"/>
    <x v="1"/>
    <x v="9"/>
    <n v="25393"/>
  </r>
  <r>
    <x v="20"/>
    <x v="20"/>
    <x v="0"/>
    <x v="0"/>
    <n v="91448"/>
  </r>
  <r>
    <x v="20"/>
    <x v="20"/>
    <x v="0"/>
    <x v="1"/>
    <n v="868737"/>
  </r>
  <r>
    <x v="20"/>
    <x v="20"/>
    <x v="0"/>
    <x v="2"/>
    <n v="51688"/>
  </r>
  <r>
    <x v="20"/>
    <x v="20"/>
    <x v="0"/>
    <x v="3"/>
    <n v="-61659"/>
  </r>
  <r>
    <x v="20"/>
    <x v="20"/>
    <x v="0"/>
    <x v="4"/>
    <n v="656716"/>
  </r>
  <r>
    <x v="20"/>
    <x v="20"/>
    <x v="0"/>
    <x v="5"/>
    <n v="1364166"/>
  </r>
  <r>
    <x v="20"/>
    <x v="20"/>
    <x v="0"/>
    <x v="6"/>
    <n v="0"/>
  </r>
  <r>
    <x v="20"/>
    <x v="20"/>
    <x v="0"/>
    <x v="7"/>
    <n v="206383"/>
  </r>
  <r>
    <x v="20"/>
    <x v="20"/>
    <x v="0"/>
    <x v="8"/>
    <n v="1610609"/>
  </r>
  <r>
    <x v="20"/>
    <x v="20"/>
    <x v="0"/>
    <x v="9"/>
    <n v="376756"/>
  </r>
  <r>
    <x v="20"/>
    <x v="20"/>
    <x v="1"/>
    <x v="0"/>
    <n v="154455"/>
  </r>
  <r>
    <x v="20"/>
    <x v="20"/>
    <x v="1"/>
    <x v="1"/>
    <n v="1027259"/>
  </r>
  <r>
    <x v="20"/>
    <x v="20"/>
    <x v="1"/>
    <x v="2"/>
    <n v="51923"/>
  </r>
  <r>
    <x v="20"/>
    <x v="20"/>
    <x v="1"/>
    <x v="3"/>
    <n v="-134208"/>
  </r>
  <r>
    <x v="20"/>
    <x v="20"/>
    <x v="1"/>
    <x v="4"/>
    <n v="656716"/>
  </r>
  <r>
    <x v="20"/>
    <x v="20"/>
    <x v="1"/>
    <x v="5"/>
    <n v="1671644"/>
  </r>
  <r>
    <x v="20"/>
    <x v="20"/>
    <x v="1"/>
    <x v="6"/>
    <n v="0"/>
  </r>
  <r>
    <x v="20"/>
    <x v="20"/>
    <x v="1"/>
    <x v="7"/>
    <n v="377400"/>
  </r>
  <r>
    <x v="20"/>
    <x v="20"/>
    <x v="1"/>
    <x v="8"/>
    <n v="1610609"/>
  </r>
  <r>
    <x v="20"/>
    <x v="20"/>
    <x v="1"/>
    <x v="9"/>
    <n v="1149564"/>
  </r>
  <r>
    <x v="20"/>
    <x v="78"/>
    <x v="0"/>
    <x v="0"/>
    <n v="77006"/>
  </r>
  <r>
    <x v="20"/>
    <x v="78"/>
    <x v="0"/>
    <x v="1"/>
    <n v="659180"/>
  </r>
  <r>
    <x v="20"/>
    <x v="78"/>
    <x v="0"/>
    <x v="2"/>
    <n v="36790"/>
  </r>
  <r>
    <x v="20"/>
    <x v="78"/>
    <x v="0"/>
    <x v="3"/>
    <n v="-200571"/>
  </r>
  <r>
    <x v="20"/>
    <x v="78"/>
    <x v="0"/>
    <x v="4"/>
    <n v="601761"/>
  </r>
  <r>
    <x v="20"/>
    <x v="78"/>
    <x v="0"/>
    <x v="5"/>
    <n v="1131804"/>
  </r>
  <r>
    <x v="20"/>
    <x v="78"/>
    <x v="0"/>
    <x v="6"/>
    <n v="0"/>
  </r>
  <r>
    <x v="20"/>
    <x v="78"/>
    <x v="0"/>
    <x v="7"/>
    <n v="-158298"/>
  </r>
  <r>
    <x v="20"/>
    <x v="78"/>
    <x v="0"/>
    <x v="8"/>
    <n v="989296"/>
  </r>
  <r>
    <x v="20"/>
    <x v="78"/>
    <x v="0"/>
    <x v="9"/>
    <n v="355996"/>
  </r>
  <r>
    <x v="20"/>
    <x v="78"/>
    <x v="1"/>
    <x v="0"/>
    <n v="102503"/>
  </r>
  <r>
    <x v="20"/>
    <x v="78"/>
    <x v="1"/>
    <x v="1"/>
    <n v="607754"/>
  </r>
  <r>
    <x v="20"/>
    <x v="78"/>
    <x v="1"/>
    <x v="2"/>
    <n v="36790"/>
  </r>
  <r>
    <x v="20"/>
    <x v="78"/>
    <x v="1"/>
    <x v="3"/>
    <n v="-246025"/>
  </r>
  <r>
    <x v="20"/>
    <x v="78"/>
    <x v="1"/>
    <x v="4"/>
    <n v="601761"/>
  </r>
  <r>
    <x v="20"/>
    <x v="78"/>
    <x v="1"/>
    <x v="5"/>
    <n v="1371894"/>
  </r>
  <r>
    <x v="20"/>
    <x v="78"/>
    <x v="1"/>
    <x v="6"/>
    <n v="14510"/>
  </r>
  <r>
    <x v="20"/>
    <x v="78"/>
    <x v="1"/>
    <x v="7"/>
    <n v="-79815"/>
  </r>
  <r>
    <x v="20"/>
    <x v="78"/>
    <x v="1"/>
    <x v="8"/>
    <n v="984018"/>
  </r>
  <r>
    <x v="20"/>
    <x v="78"/>
    <x v="1"/>
    <x v="9"/>
    <n v="684862"/>
  </r>
  <r>
    <x v="20"/>
    <x v="21"/>
    <x v="0"/>
    <x v="0"/>
    <n v="22130"/>
  </r>
  <r>
    <x v="20"/>
    <x v="21"/>
    <x v="0"/>
    <x v="1"/>
    <n v="343238"/>
  </r>
  <r>
    <x v="20"/>
    <x v="21"/>
    <x v="0"/>
    <x v="2"/>
    <n v="50425"/>
  </r>
  <r>
    <x v="20"/>
    <x v="21"/>
    <x v="0"/>
    <x v="3"/>
    <n v="-651"/>
  </r>
  <r>
    <x v="20"/>
    <x v="21"/>
    <x v="0"/>
    <x v="4"/>
    <n v="349847"/>
  </r>
  <r>
    <x v="20"/>
    <x v="21"/>
    <x v="0"/>
    <x v="5"/>
    <n v="473502"/>
  </r>
  <r>
    <x v="20"/>
    <x v="21"/>
    <x v="0"/>
    <x v="6"/>
    <m/>
  </r>
  <r>
    <x v="20"/>
    <x v="21"/>
    <x v="0"/>
    <x v="7"/>
    <n v="35184"/>
  </r>
  <r>
    <x v="20"/>
    <x v="21"/>
    <x v="0"/>
    <x v="8"/>
    <n v="452386"/>
  </r>
  <r>
    <x v="20"/>
    <x v="21"/>
    <x v="0"/>
    <x v="9"/>
    <n v="122897"/>
  </r>
  <r>
    <x v="20"/>
    <x v="21"/>
    <x v="1"/>
    <x v="0"/>
    <n v="34907"/>
  </r>
  <r>
    <x v="20"/>
    <x v="21"/>
    <x v="1"/>
    <x v="1"/>
    <n v="413769"/>
  </r>
  <r>
    <x v="20"/>
    <x v="21"/>
    <x v="1"/>
    <x v="2"/>
    <n v="50425"/>
  </r>
  <r>
    <x v="20"/>
    <x v="21"/>
    <x v="1"/>
    <x v="3"/>
    <n v="-31903"/>
  </r>
  <r>
    <x v="20"/>
    <x v="21"/>
    <x v="1"/>
    <x v="4"/>
    <n v="349847"/>
  </r>
  <r>
    <x v="20"/>
    <x v="21"/>
    <x v="1"/>
    <x v="5"/>
    <n v="638035"/>
  </r>
  <r>
    <x v="20"/>
    <x v="21"/>
    <x v="1"/>
    <x v="6"/>
    <n v="2371"/>
  </r>
  <r>
    <x v="20"/>
    <x v="21"/>
    <x v="1"/>
    <x v="7"/>
    <n v="-12991"/>
  </r>
  <r>
    <x v="20"/>
    <x v="21"/>
    <x v="1"/>
    <x v="8"/>
    <n v="447599"/>
  </r>
  <r>
    <x v="20"/>
    <x v="21"/>
    <x v="1"/>
    <x v="9"/>
    <n v="356231"/>
  </r>
  <r>
    <x v="20"/>
    <x v="22"/>
    <x v="0"/>
    <x v="0"/>
    <n v="46000"/>
  </r>
  <r>
    <x v="20"/>
    <x v="22"/>
    <x v="0"/>
    <x v="1"/>
    <n v="548000"/>
  </r>
  <r>
    <x v="20"/>
    <x v="22"/>
    <x v="0"/>
    <x v="2"/>
    <n v="36000"/>
  </r>
  <r>
    <x v="20"/>
    <x v="22"/>
    <x v="0"/>
    <x v="3"/>
    <n v="-105000"/>
  </r>
  <r>
    <x v="20"/>
    <x v="22"/>
    <x v="0"/>
    <x v="4"/>
    <n v="322000"/>
  </r>
  <r>
    <x v="20"/>
    <x v="22"/>
    <x v="0"/>
    <x v="5"/>
    <n v="832000"/>
  </r>
  <r>
    <x v="20"/>
    <x v="22"/>
    <x v="0"/>
    <x v="7"/>
    <n v="-119000"/>
  </r>
  <r>
    <x v="20"/>
    <x v="22"/>
    <x v="0"/>
    <x v="8"/>
    <n v="816000"/>
  </r>
  <r>
    <x v="20"/>
    <x v="22"/>
    <x v="0"/>
    <x v="9"/>
    <n v="310000"/>
  </r>
  <r>
    <x v="20"/>
    <x v="22"/>
    <x v="1"/>
    <x v="0"/>
    <n v="74000"/>
  </r>
  <r>
    <x v="20"/>
    <x v="22"/>
    <x v="1"/>
    <x v="1"/>
    <n v="545000"/>
  </r>
  <r>
    <x v="20"/>
    <x v="22"/>
    <x v="1"/>
    <x v="2"/>
    <n v="36000"/>
  </r>
  <r>
    <x v="20"/>
    <x v="22"/>
    <x v="1"/>
    <x v="3"/>
    <n v="-175000"/>
  </r>
  <r>
    <x v="20"/>
    <x v="22"/>
    <x v="1"/>
    <x v="4"/>
    <n v="322000"/>
  </r>
  <r>
    <x v="20"/>
    <x v="22"/>
    <x v="1"/>
    <x v="5"/>
    <n v="890000"/>
  </r>
  <r>
    <x v="20"/>
    <x v="22"/>
    <x v="1"/>
    <x v="7"/>
    <n v="-89000"/>
  </r>
  <r>
    <x v="20"/>
    <x v="22"/>
    <x v="1"/>
    <x v="8"/>
    <n v="816000"/>
  </r>
  <r>
    <x v="20"/>
    <x v="22"/>
    <x v="1"/>
    <x v="9"/>
    <n v="493000"/>
  </r>
  <r>
    <x v="20"/>
    <x v="23"/>
    <x v="0"/>
    <x v="0"/>
    <n v="157586"/>
  </r>
  <r>
    <x v="20"/>
    <x v="23"/>
    <x v="0"/>
    <x v="1"/>
    <n v="2407062"/>
  </r>
  <r>
    <x v="20"/>
    <x v="23"/>
    <x v="0"/>
    <x v="2"/>
    <n v="151474"/>
  </r>
  <r>
    <x v="20"/>
    <x v="23"/>
    <x v="0"/>
    <x v="3"/>
    <n v="-374343"/>
  </r>
  <r>
    <x v="20"/>
    <x v="23"/>
    <x v="0"/>
    <x v="4"/>
    <n v="1405504"/>
  </r>
  <r>
    <x v="20"/>
    <x v="23"/>
    <x v="0"/>
    <x v="5"/>
    <n v="3035353"/>
  </r>
  <r>
    <x v="20"/>
    <x v="23"/>
    <x v="0"/>
    <x v="6"/>
    <n v="-4145"/>
  </r>
  <r>
    <x v="20"/>
    <x v="23"/>
    <x v="0"/>
    <x v="7"/>
    <n v="-209965"/>
  </r>
  <r>
    <x v="20"/>
    <x v="23"/>
    <x v="0"/>
    <x v="8"/>
    <n v="3093652"/>
  </r>
  <r>
    <x v="20"/>
    <x v="23"/>
    <x v="0"/>
    <x v="9"/>
    <n v="1420842"/>
  </r>
  <r>
    <x v="20"/>
    <x v="23"/>
    <x v="1"/>
    <x v="0"/>
    <n v="245539"/>
  </r>
  <r>
    <x v="20"/>
    <x v="23"/>
    <x v="1"/>
    <x v="1"/>
    <n v="2649175"/>
  </r>
  <r>
    <x v="20"/>
    <x v="23"/>
    <x v="1"/>
    <x v="2"/>
    <n v="156957"/>
  </r>
  <r>
    <x v="20"/>
    <x v="23"/>
    <x v="1"/>
    <x v="3"/>
    <n v="-573671"/>
  </r>
  <r>
    <x v="20"/>
    <x v="23"/>
    <x v="1"/>
    <x v="4"/>
    <n v="1430142"/>
  </r>
  <r>
    <x v="20"/>
    <x v="23"/>
    <x v="1"/>
    <x v="5"/>
    <n v="3314877"/>
  </r>
  <r>
    <x v="20"/>
    <x v="23"/>
    <x v="1"/>
    <x v="6"/>
    <n v="-4145"/>
  </r>
  <r>
    <x v="20"/>
    <x v="23"/>
    <x v="1"/>
    <x v="7"/>
    <n v="-109627"/>
  </r>
  <r>
    <x v="20"/>
    <x v="23"/>
    <x v="1"/>
    <x v="8"/>
    <n v="3057994"/>
  </r>
  <r>
    <x v="20"/>
    <x v="23"/>
    <x v="1"/>
    <x v="9"/>
    <n v="2346601"/>
  </r>
  <r>
    <x v="20"/>
    <x v="24"/>
    <x v="0"/>
    <x v="0"/>
    <n v="13647"/>
  </r>
  <r>
    <x v="20"/>
    <x v="24"/>
    <x v="0"/>
    <x v="1"/>
    <n v="255727"/>
  </r>
  <r>
    <x v="20"/>
    <x v="24"/>
    <x v="0"/>
    <x v="2"/>
    <n v="0"/>
  </r>
  <r>
    <x v="20"/>
    <x v="24"/>
    <x v="0"/>
    <x v="3"/>
    <n v="-3215"/>
  </r>
  <r>
    <x v="20"/>
    <x v="24"/>
    <x v="0"/>
    <x v="4"/>
    <n v="250489"/>
  </r>
  <r>
    <x v="20"/>
    <x v="24"/>
    <x v="0"/>
    <x v="5"/>
    <n v="278726"/>
  </r>
  <r>
    <x v="20"/>
    <x v="24"/>
    <x v="0"/>
    <x v="6"/>
    <n v="13319"/>
  </r>
  <r>
    <x v="20"/>
    <x v="24"/>
    <x v="0"/>
    <x v="7"/>
    <n v="61905"/>
  </r>
  <r>
    <x v="20"/>
    <x v="24"/>
    <x v="0"/>
    <x v="8"/>
    <n v="175589"/>
  </r>
  <r>
    <x v="20"/>
    <x v="24"/>
    <x v="0"/>
    <x v="9"/>
    <n v="173823"/>
  </r>
  <r>
    <x v="20"/>
    <x v="24"/>
    <x v="1"/>
    <x v="0"/>
    <n v="23040"/>
  </r>
  <r>
    <x v="20"/>
    <x v="24"/>
    <x v="1"/>
    <x v="1"/>
    <n v="289982"/>
  </r>
  <r>
    <x v="20"/>
    <x v="24"/>
    <x v="1"/>
    <x v="2"/>
    <n v="0"/>
  </r>
  <r>
    <x v="20"/>
    <x v="24"/>
    <x v="1"/>
    <x v="3"/>
    <n v="-9789"/>
  </r>
  <r>
    <x v="20"/>
    <x v="24"/>
    <x v="1"/>
    <x v="4"/>
    <n v="250489"/>
  </r>
  <r>
    <x v="20"/>
    <x v="24"/>
    <x v="1"/>
    <x v="5"/>
    <n v="442446"/>
  </r>
  <r>
    <x v="20"/>
    <x v="24"/>
    <x v="1"/>
    <x v="6"/>
    <n v="13319"/>
  </r>
  <r>
    <x v="20"/>
    <x v="24"/>
    <x v="1"/>
    <x v="7"/>
    <n v="82306"/>
  </r>
  <r>
    <x v="20"/>
    <x v="24"/>
    <x v="1"/>
    <x v="8"/>
    <n v="173563"/>
  </r>
  <r>
    <x v="20"/>
    <x v="24"/>
    <x v="1"/>
    <x v="9"/>
    <n v="410192"/>
  </r>
  <r>
    <x v="20"/>
    <x v="25"/>
    <x v="0"/>
    <x v="0"/>
    <n v="23190"/>
  </r>
  <r>
    <x v="20"/>
    <x v="25"/>
    <x v="0"/>
    <x v="1"/>
    <n v="192228"/>
  </r>
  <r>
    <x v="20"/>
    <x v="25"/>
    <x v="0"/>
    <x v="2"/>
    <n v="0"/>
  </r>
  <r>
    <x v="20"/>
    <x v="25"/>
    <x v="0"/>
    <x v="3"/>
    <n v="-24975"/>
  </r>
  <r>
    <x v="20"/>
    <x v="25"/>
    <x v="0"/>
    <x v="4"/>
    <n v="115895"/>
  </r>
  <r>
    <x v="20"/>
    <x v="25"/>
    <x v="0"/>
    <x v="5"/>
    <n v="251910"/>
  </r>
  <r>
    <x v="20"/>
    <x v="25"/>
    <x v="0"/>
    <x v="6"/>
    <n v="0"/>
  </r>
  <r>
    <x v="20"/>
    <x v="25"/>
    <x v="0"/>
    <x v="7"/>
    <n v="-109621"/>
  </r>
  <r>
    <x v="20"/>
    <x v="25"/>
    <x v="0"/>
    <x v="8"/>
    <n v="221493"/>
  </r>
  <r>
    <x v="20"/>
    <x v="25"/>
    <x v="0"/>
    <x v="9"/>
    <n v="45294"/>
  </r>
  <r>
    <x v="20"/>
    <x v="25"/>
    <x v="1"/>
    <x v="0"/>
    <n v="30744"/>
  </r>
  <r>
    <x v="20"/>
    <x v="25"/>
    <x v="1"/>
    <x v="1"/>
    <n v="212737"/>
  </r>
  <r>
    <x v="20"/>
    <x v="25"/>
    <x v="1"/>
    <x v="2"/>
    <n v="0"/>
  </r>
  <r>
    <x v="20"/>
    <x v="25"/>
    <x v="1"/>
    <x v="3"/>
    <n v="-39535"/>
  </r>
  <r>
    <x v="20"/>
    <x v="25"/>
    <x v="1"/>
    <x v="4"/>
    <n v="117377"/>
  </r>
  <r>
    <x v="20"/>
    <x v="25"/>
    <x v="1"/>
    <x v="5"/>
    <n v="274595"/>
  </r>
  <r>
    <x v="20"/>
    <x v="25"/>
    <x v="1"/>
    <x v="6"/>
    <n v="0"/>
  </r>
  <r>
    <x v="20"/>
    <x v="25"/>
    <x v="1"/>
    <x v="7"/>
    <n v="-99018"/>
  </r>
  <r>
    <x v="20"/>
    <x v="25"/>
    <x v="1"/>
    <x v="8"/>
    <n v="220862"/>
  </r>
  <r>
    <x v="20"/>
    <x v="25"/>
    <x v="1"/>
    <x v="9"/>
    <n v="120354"/>
  </r>
  <r>
    <x v="20"/>
    <x v="26"/>
    <x v="0"/>
    <x v="0"/>
    <n v="54251"/>
  </r>
  <r>
    <x v="20"/>
    <x v="26"/>
    <x v="0"/>
    <x v="1"/>
    <n v="644694"/>
  </r>
  <r>
    <x v="20"/>
    <x v="26"/>
    <x v="0"/>
    <x v="2"/>
    <n v="21516"/>
  </r>
  <r>
    <x v="20"/>
    <x v="26"/>
    <x v="0"/>
    <x v="3"/>
    <n v="-146352"/>
  </r>
  <r>
    <x v="20"/>
    <x v="26"/>
    <x v="0"/>
    <x v="4"/>
    <n v="545305"/>
  </r>
  <r>
    <x v="20"/>
    <x v="26"/>
    <x v="0"/>
    <x v="5"/>
    <n v="870968"/>
  </r>
  <r>
    <x v="20"/>
    <x v="26"/>
    <x v="0"/>
    <x v="7"/>
    <n v="-92880"/>
  </r>
  <r>
    <x v="20"/>
    <x v="26"/>
    <x v="0"/>
    <x v="8"/>
    <n v="891690"/>
  </r>
  <r>
    <x v="20"/>
    <x v="26"/>
    <x v="0"/>
    <x v="9"/>
    <n v="207906"/>
  </r>
  <r>
    <x v="20"/>
    <x v="26"/>
    <x v="1"/>
    <x v="0"/>
    <n v="91568"/>
  </r>
  <r>
    <x v="20"/>
    <x v="26"/>
    <x v="1"/>
    <x v="1"/>
    <n v="795522"/>
  </r>
  <r>
    <x v="20"/>
    <x v="26"/>
    <x v="1"/>
    <x v="2"/>
    <n v="22270"/>
  </r>
  <r>
    <x v="20"/>
    <x v="26"/>
    <x v="1"/>
    <x v="3"/>
    <n v="-191878"/>
  </r>
  <r>
    <x v="20"/>
    <x v="26"/>
    <x v="1"/>
    <x v="4"/>
    <n v="551800"/>
  </r>
  <r>
    <x v="20"/>
    <x v="26"/>
    <x v="1"/>
    <x v="5"/>
    <n v="952812"/>
  </r>
  <r>
    <x v="20"/>
    <x v="26"/>
    <x v="1"/>
    <x v="7"/>
    <n v="87782"/>
  </r>
  <r>
    <x v="20"/>
    <x v="26"/>
    <x v="1"/>
    <x v="8"/>
    <n v="887288"/>
  </r>
  <r>
    <x v="20"/>
    <x v="26"/>
    <x v="1"/>
    <x v="9"/>
    <n v="702744"/>
  </r>
  <r>
    <x v="20"/>
    <x v="27"/>
    <x v="0"/>
    <x v="0"/>
    <n v="16020"/>
  </r>
  <r>
    <x v="20"/>
    <x v="27"/>
    <x v="0"/>
    <x v="1"/>
    <n v="132248"/>
  </r>
  <r>
    <x v="20"/>
    <x v="27"/>
    <x v="0"/>
    <x v="2"/>
    <n v="0"/>
  </r>
  <r>
    <x v="20"/>
    <x v="27"/>
    <x v="0"/>
    <x v="3"/>
    <n v="2003"/>
  </r>
  <r>
    <x v="20"/>
    <x v="27"/>
    <x v="0"/>
    <x v="4"/>
    <n v="133288"/>
  </r>
  <r>
    <x v="20"/>
    <x v="27"/>
    <x v="0"/>
    <x v="5"/>
    <n v="159339"/>
  </r>
  <r>
    <x v="20"/>
    <x v="27"/>
    <x v="0"/>
    <x v="6"/>
    <n v="0"/>
  </r>
  <r>
    <x v="20"/>
    <x v="27"/>
    <x v="0"/>
    <x v="7"/>
    <n v="24768"/>
  </r>
  <r>
    <x v="20"/>
    <x v="27"/>
    <x v="0"/>
    <x v="8"/>
    <n v="166788"/>
  </r>
  <r>
    <x v="20"/>
    <x v="27"/>
    <x v="0"/>
    <x v="9"/>
    <n v="30296"/>
  </r>
  <r>
    <x v="20"/>
    <x v="27"/>
    <x v="1"/>
    <x v="0"/>
    <n v="20121"/>
  </r>
  <r>
    <x v="20"/>
    <x v="27"/>
    <x v="1"/>
    <x v="1"/>
    <n v="139104"/>
  </r>
  <r>
    <x v="20"/>
    <x v="27"/>
    <x v="1"/>
    <x v="2"/>
    <n v="0"/>
  </r>
  <r>
    <x v="20"/>
    <x v="27"/>
    <x v="1"/>
    <x v="3"/>
    <n v="2293"/>
  </r>
  <r>
    <x v="20"/>
    <x v="27"/>
    <x v="1"/>
    <x v="4"/>
    <n v="133288"/>
  </r>
  <r>
    <x v="20"/>
    <x v="27"/>
    <x v="1"/>
    <x v="5"/>
    <n v="164082"/>
  </r>
  <r>
    <x v="20"/>
    <x v="27"/>
    <x v="1"/>
    <x v="6"/>
    <n v="0"/>
  </r>
  <r>
    <x v="20"/>
    <x v="27"/>
    <x v="1"/>
    <x v="7"/>
    <n v="45101"/>
  </r>
  <r>
    <x v="20"/>
    <x v="27"/>
    <x v="1"/>
    <x v="8"/>
    <n v="166139"/>
  </r>
  <r>
    <x v="20"/>
    <x v="27"/>
    <x v="1"/>
    <x v="9"/>
    <n v="66688"/>
  </r>
  <r>
    <x v="20"/>
    <x v="28"/>
    <x v="0"/>
    <x v="0"/>
    <n v="1040"/>
  </r>
  <r>
    <x v="20"/>
    <x v="28"/>
    <x v="0"/>
    <x v="1"/>
    <n v="52659"/>
  </r>
  <r>
    <x v="20"/>
    <x v="28"/>
    <x v="0"/>
    <x v="2"/>
    <n v="0"/>
  </r>
  <r>
    <x v="20"/>
    <x v="28"/>
    <x v="0"/>
    <x v="3"/>
    <n v="1495"/>
  </r>
  <r>
    <x v="20"/>
    <x v="28"/>
    <x v="0"/>
    <x v="4"/>
    <n v="14662"/>
  </r>
  <r>
    <x v="20"/>
    <x v="28"/>
    <x v="0"/>
    <x v="5"/>
    <n v="9094"/>
  </r>
  <r>
    <x v="20"/>
    <x v="28"/>
    <x v="0"/>
    <x v="6"/>
    <n v="0"/>
  </r>
  <r>
    <x v="20"/>
    <x v="28"/>
    <x v="0"/>
    <x v="7"/>
    <n v="13490"/>
  </r>
  <r>
    <x v="20"/>
    <x v="28"/>
    <x v="0"/>
    <x v="8"/>
    <n v="42567"/>
  </r>
  <r>
    <x v="20"/>
    <x v="28"/>
    <x v="0"/>
    <x v="9"/>
    <n v="17559"/>
  </r>
  <r>
    <x v="20"/>
    <x v="28"/>
    <x v="1"/>
    <x v="0"/>
    <n v="2287"/>
  </r>
  <r>
    <x v="20"/>
    <x v="28"/>
    <x v="1"/>
    <x v="1"/>
    <n v="57671"/>
  </r>
  <r>
    <x v="20"/>
    <x v="28"/>
    <x v="1"/>
    <x v="2"/>
    <n v="0"/>
  </r>
  <r>
    <x v="20"/>
    <x v="28"/>
    <x v="1"/>
    <x v="3"/>
    <n v="72"/>
  </r>
  <r>
    <x v="20"/>
    <x v="28"/>
    <x v="1"/>
    <x v="4"/>
    <n v="14939"/>
  </r>
  <r>
    <x v="20"/>
    <x v="28"/>
    <x v="1"/>
    <x v="5"/>
    <n v="9126"/>
  </r>
  <r>
    <x v="20"/>
    <x v="28"/>
    <x v="1"/>
    <x v="6"/>
    <n v="0"/>
  </r>
  <r>
    <x v="20"/>
    <x v="28"/>
    <x v="1"/>
    <x v="7"/>
    <n v="15552"/>
  </r>
  <r>
    <x v="20"/>
    <x v="28"/>
    <x v="1"/>
    <x v="8"/>
    <n v="42567"/>
  </r>
  <r>
    <x v="20"/>
    <x v="28"/>
    <x v="1"/>
    <x v="9"/>
    <n v="27058"/>
  </r>
  <r>
    <x v="20"/>
    <x v="29"/>
    <x v="0"/>
    <x v="0"/>
    <n v="4486"/>
  </r>
  <r>
    <x v="20"/>
    <x v="29"/>
    <x v="0"/>
    <x v="1"/>
    <n v="67262"/>
  </r>
  <r>
    <x v="20"/>
    <x v="29"/>
    <x v="0"/>
    <x v="3"/>
    <n v="10295"/>
  </r>
  <r>
    <x v="20"/>
    <x v="29"/>
    <x v="0"/>
    <x v="4"/>
    <n v="39593"/>
  </r>
  <r>
    <x v="20"/>
    <x v="29"/>
    <x v="0"/>
    <x v="5"/>
    <n v="84231"/>
  </r>
  <r>
    <x v="20"/>
    <x v="29"/>
    <x v="0"/>
    <x v="6"/>
    <m/>
  </r>
  <r>
    <x v="20"/>
    <x v="29"/>
    <x v="0"/>
    <x v="7"/>
    <n v="15611"/>
  </r>
  <r>
    <x v="20"/>
    <x v="29"/>
    <x v="0"/>
    <x v="8"/>
    <n v="88666"/>
  </r>
  <r>
    <x v="20"/>
    <x v="29"/>
    <x v="0"/>
    <x v="9"/>
    <n v="33036"/>
  </r>
  <r>
    <x v="20"/>
    <x v="29"/>
    <x v="1"/>
    <x v="0"/>
    <n v="6359"/>
  </r>
  <r>
    <x v="20"/>
    <x v="29"/>
    <x v="1"/>
    <x v="1"/>
    <n v="81047"/>
  </r>
  <r>
    <x v="20"/>
    <x v="29"/>
    <x v="1"/>
    <x v="3"/>
    <n v="-387"/>
  </r>
  <r>
    <x v="20"/>
    <x v="29"/>
    <x v="1"/>
    <x v="4"/>
    <n v="40229"/>
  </r>
  <r>
    <x v="20"/>
    <x v="29"/>
    <x v="1"/>
    <x v="5"/>
    <n v="88566"/>
  </r>
  <r>
    <x v="20"/>
    <x v="29"/>
    <x v="1"/>
    <x v="6"/>
    <n v="-4444"/>
  </r>
  <r>
    <x v="20"/>
    <x v="29"/>
    <x v="1"/>
    <x v="7"/>
    <n v="11653"/>
  </r>
  <r>
    <x v="20"/>
    <x v="29"/>
    <x v="1"/>
    <x v="8"/>
    <n v="87993"/>
  </r>
  <r>
    <x v="20"/>
    <x v="29"/>
    <x v="1"/>
    <x v="9"/>
    <n v="64234"/>
  </r>
  <r>
    <x v="20"/>
    <x v="31"/>
    <x v="0"/>
    <x v="0"/>
    <n v="22940"/>
  </r>
  <r>
    <x v="20"/>
    <x v="31"/>
    <x v="0"/>
    <x v="1"/>
    <n v="277040"/>
  </r>
  <r>
    <x v="20"/>
    <x v="31"/>
    <x v="0"/>
    <x v="2"/>
    <n v="11356"/>
  </r>
  <r>
    <x v="20"/>
    <x v="31"/>
    <x v="0"/>
    <x v="3"/>
    <n v="-67160"/>
  </r>
  <r>
    <x v="20"/>
    <x v="31"/>
    <x v="0"/>
    <x v="4"/>
    <n v="348891"/>
  </r>
  <r>
    <x v="20"/>
    <x v="31"/>
    <x v="0"/>
    <x v="5"/>
    <n v="424550"/>
  </r>
  <r>
    <x v="20"/>
    <x v="31"/>
    <x v="0"/>
    <x v="6"/>
    <m/>
  </r>
  <r>
    <x v="20"/>
    <x v="31"/>
    <x v="0"/>
    <x v="7"/>
    <n v="21414"/>
  </r>
  <r>
    <x v="20"/>
    <x v="31"/>
    <x v="0"/>
    <x v="8"/>
    <n v="325068"/>
  </r>
  <r>
    <x v="20"/>
    <x v="31"/>
    <x v="0"/>
    <x v="9"/>
    <n v="150501"/>
  </r>
  <r>
    <x v="20"/>
    <x v="31"/>
    <x v="1"/>
    <x v="0"/>
    <n v="34469"/>
  </r>
  <r>
    <x v="20"/>
    <x v="31"/>
    <x v="1"/>
    <x v="1"/>
    <n v="300809"/>
  </r>
  <r>
    <x v="20"/>
    <x v="31"/>
    <x v="1"/>
    <x v="2"/>
    <n v="11356"/>
  </r>
  <r>
    <x v="20"/>
    <x v="31"/>
    <x v="1"/>
    <x v="3"/>
    <n v="-86613"/>
  </r>
  <r>
    <x v="20"/>
    <x v="31"/>
    <x v="1"/>
    <x v="4"/>
    <n v="351259"/>
  </r>
  <r>
    <x v="20"/>
    <x v="31"/>
    <x v="1"/>
    <x v="5"/>
    <n v="439316"/>
  </r>
  <r>
    <x v="20"/>
    <x v="31"/>
    <x v="1"/>
    <x v="6"/>
    <n v="2795"/>
  </r>
  <r>
    <x v="20"/>
    <x v="31"/>
    <x v="1"/>
    <x v="7"/>
    <n v="8617"/>
  </r>
  <r>
    <x v="20"/>
    <x v="31"/>
    <x v="1"/>
    <x v="8"/>
    <n v="323749"/>
  </r>
  <r>
    <x v="20"/>
    <x v="31"/>
    <x v="1"/>
    <x v="9"/>
    <n v="203377"/>
  </r>
  <r>
    <x v="20"/>
    <x v="33"/>
    <x v="0"/>
    <x v="0"/>
    <n v="47958"/>
  </r>
  <r>
    <x v="20"/>
    <x v="33"/>
    <x v="0"/>
    <x v="1"/>
    <n v="624659"/>
  </r>
  <r>
    <x v="20"/>
    <x v="33"/>
    <x v="0"/>
    <x v="2"/>
    <n v="21201"/>
  </r>
  <r>
    <x v="20"/>
    <x v="33"/>
    <x v="0"/>
    <x v="3"/>
    <n v="-22632"/>
  </r>
  <r>
    <x v="20"/>
    <x v="33"/>
    <x v="0"/>
    <x v="4"/>
    <n v="540750"/>
  </r>
  <r>
    <x v="20"/>
    <x v="33"/>
    <x v="0"/>
    <x v="5"/>
    <n v="903331"/>
  </r>
  <r>
    <x v="20"/>
    <x v="33"/>
    <x v="0"/>
    <x v="6"/>
    <m/>
  </r>
  <r>
    <x v="20"/>
    <x v="33"/>
    <x v="0"/>
    <x v="7"/>
    <n v="-6285"/>
  </r>
  <r>
    <x v="20"/>
    <x v="33"/>
    <x v="0"/>
    <x v="8"/>
    <n v="841877"/>
  </r>
  <r>
    <x v="20"/>
    <x v="33"/>
    <x v="0"/>
    <x v="9"/>
    <n v="230869"/>
  </r>
  <r>
    <x v="20"/>
    <x v="33"/>
    <x v="1"/>
    <x v="0"/>
    <n v="73889"/>
  </r>
  <r>
    <x v="20"/>
    <x v="33"/>
    <x v="1"/>
    <x v="1"/>
    <n v="812622"/>
  </r>
  <r>
    <x v="20"/>
    <x v="33"/>
    <x v="1"/>
    <x v="2"/>
    <n v="21512"/>
  </r>
  <r>
    <x v="20"/>
    <x v="33"/>
    <x v="1"/>
    <x v="3"/>
    <n v="-102951"/>
  </r>
  <r>
    <x v="20"/>
    <x v="33"/>
    <x v="1"/>
    <x v="4"/>
    <n v="540750"/>
  </r>
  <r>
    <x v="20"/>
    <x v="33"/>
    <x v="1"/>
    <x v="5"/>
    <n v="942049"/>
  </r>
  <r>
    <x v="20"/>
    <x v="33"/>
    <x v="1"/>
    <x v="6"/>
    <n v="8163"/>
  </r>
  <r>
    <x v="20"/>
    <x v="33"/>
    <x v="1"/>
    <x v="7"/>
    <n v="-85872"/>
  </r>
  <r>
    <x v="20"/>
    <x v="33"/>
    <x v="1"/>
    <x v="8"/>
    <n v="829412"/>
  </r>
  <r>
    <x v="20"/>
    <x v="33"/>
    <x v="1"/>
    <x v="9"/>
    <n v="488826"/>
  </r>
  <r>
    <x v="20"/>
    <x v="35"/>
    <x v="0"/>
    <x v="0"/>
    <n v="29273"/>
  </r>
  <r>
    <x v="20"/>
    <x v="35"/>
    <x v="0"/>
    <x v="1"/>
    <n v="352021"/>
  </r>
  <r>
    <x v="20"/>
    <x v="35"/>
    <x v="0"/>
    <x v="2"/>
    <n v="4806"/>
  </r>
  <r>
    <x v="20"/>
    <x v="35"/>
    <x v="0"/>
    <x v="3"/>
    <n v="8067"/>
  </r>
  <r>
    <x v="20"/>
    <x v="35"/>
    <x v="0"/>
    <x v="4"/>
    <n v="166633"/>
  </r>
  <r>
    <x v="20"/>
    <x v="35"/>
    <x v="0"/>
    <x v="5"/>
    <n v="342064"/>
  </r>
  <r>
    <x v="20"/>
    <x v="35"/>
    <x v="0"/>
    <x v="7"/>
    <n v="-52707"/>
  </r>
  <r>
    <x v="20"/>
    <x v="35"/>
    <x v="0"/>
    <x v="8"/>
    <n v="377118"/>
  </r>
  <r>
    <x v="20"/>
    <x v="35"/>
    <x v="0"/>
    <x v="9"/>
    <n v="123639"/>
  </r>
  <r>
    <x v="20"/>
    <x v="35"/>
    <x v="1"/>
    <x v="0"/>
    <n v="46506"/>
  </r>
  <r>
    <x v="20"/>
    <x v="35"/>
    <x v="1"/>
    <x v="1"/>
    <n v="372424"/>
  </r>
  <r>
    <x v="20"/>
    <x v="35"/>
    <x v="1"/>
    <x v="2"/>
    <n v="4806"/>
  </r>
  <r>
    <x v="20"/>
    <x v="35"/>
    <x v="1"/>
    <x v="3"/>
    <n v="-3964"/>
  </r>
  <r>
    <x v="20"/>
    <x v="35"/>
    <x v="1"/>
    <x v="4"/>
    <n v="166633"/>
  </r>
  <r>
    <x v="20"/>
    <x v="35"/>
    <x v="1"/>
    <x v="5"/>
    <n v="363806"/>
  </r>
  <r>
    <x v="20"/>
    <x v="35"/>
    <x v="1"/>
    <x v="7"/>
    <n v="629"/>
  </r>
  <r>
    <x v="20"/>
    <x v="35"/>
    <x v="1"/>
    <x v="8"/>
    <n v="370906"/>
  </r>
  <r>
    <x v="20"/>
    <x v="35"/>
    <x v="1"/>
    <x v="9"/>
    <n v="254596"/>
  </r>
  <r>
    <x v="20"/>
    <x v="36"/>
    <x v="0"/>
    <x v="0"/>
    <n v="1313"/>
  </r>
  <r>
    <x v="20"/>
    <x v="36"/>
    <x v="0"/>
    <x v="1"/>
    <n v="106457"/>
  </r>
  <r>
    <x v="20"/>
    <x v="36"/>
    <x v="0"/>
    <x v="3"/>
    <n v="183"/>
  </r>
  <r>
    <x v="20"/>
    <x v="36"/>
    <x v="0"/>
    <x v="4"/>
    <n v="57003"/>
  </r>
  <r>
    <x v="20"/>
    <x v="36"/>
    <x v="0"/>
    <x v="5"/>
    <n v="11696"/>
  </r>
  <r>
    <x v="20"/>
    <x v="36"/>
    <x v="0"/>
    <x v="7"/>
    <n v="-4276"/>
  </r>
  <r>
    <x v="20"/>
    <x v="36"/>
    <x v="0"/>
    <x v="8"/>
    <n v="49474"/>
  </r>
  <r>
    <x v="20"/>
    <x v="36"/>
    <x v="0"/>
    <x v="9"/>
    <n v="8530"/>
  </r>
  <r>
    <x v="20"/>
    <x v="36"/>
    <x v="1"/>
    <x v="0"/>
    <n v="5451"/>
  </r>
  <r>
    <x v="20"/>
    <x v="36"/>
    <x v="1"/>
    <x v="1"/>
    <n v="106865"/>
  </r>
  <r>
    <x v="20"/>
    <x v="36"/>
    <x v="1"/>
    <x v="3"/>
    <n v="-476"/>
  </r>
  <r>
    <x v="20"/>
    <x v="36"/>
    <x v="1"/>
    <x v="4"/>
    <n v="57003"/>
  </r>
  <r>
    <x v="20"/>
    <x v="36"/>
    <x v="1"/>
    <x v="5"/>
    <n v="11696"/>
  </r>
  <r>
    <x v="20"/>
    <x v="36"/>
    <x v="1"/>
    <x v="7"/>
    <n v="-6845"/>
  </r>
  <r>
    <x v="20"/>
    <x v="36"/>
    <x v="1"/>
    <x v="8"/>
    <n v="49474"/>
  </r>
  <r>
    <x v="20"/>
    <x v="36"/>
    <x v="1"/>
    <x v="9"/>
    <n v="11166"/>
  </r>
  <r>
    <x v="20"/>
    <x v="79"/>
    <x v="0"/>
    <x v="0"/>
    <n v="79158"/>
  </r>
  <r>
    <x v="20"/>
    <x v="79"/>
    <x v="0"/>
    <x v="1"/>
    <n v="758661"/>
  </r>
  <r>
    <x v="20"/>
    <x v="79"/>
    <x v="0"/>
    <x v="2"/>
    <n v="39410"/>
  </r>
  <r>
    <x v="20"/>
    <x v="79"/>
    <x v="0"/>
    <x v="3"/>
    <n v="-171623"/>
  </r>
  <r>
    <x v="20"/>
    <x v="79"/>
    <x v="0"/>
    <x v="4"/>
    <n v="649009"/>
  </r>
  <r>
    <x v="20"/>
    <x v="79"/>
    <x v="0"/>
    <x v="5"/>
    <n v="1211421"/>
  </r>
  <r>
    <x v="20"/>
    <x v="79"/>
    <x v="0"/>
    <x v="6"/>
    <n v="0"/>
  </r>
  <r>
    <x v="20"/>
    <x v="79"/>
    <x v="0"/>
    <x v="7"/>
    <n v="-213384"/>
  </r>
  <r>
    <x v="20"/>
    <x v="79"/>
    <x v="0"/>
    <x v="8"/>
    <n v="1062750"/>
  </r>
  <r>
    <x v="20"/>
    <x v="79"/>
    <x v="0"/>
    <x v="9"/>
    <n v="335130"/>
  </r>
  <r>
    <x v="20"/>
    <x v="79"/>
    <x v="1"/>
    <x v="0"/>
    <n v="121654"/>
  </r>
  <r>
    <x v="20"/>
    <x v="79"/>
    <x v="1"/>
    <x v="1"/>
    <n v="802117"/>
  </r>
  <r>
    <x v="20"/>
    <x v="79"/>
    <x v="1"/>
    <x v="2"/>
    <n v="39410"/>
  </r>
  <r>
    <x v="20"/>
    <x v="79"/>
    <x v="1"/>
    <x v="3"/>
    <n v="-250868"/>
  </r>
  <r>
    <x v="20"/>
    <x v="79"/>
    <x v="1"/>
    <x v="4"/>
    <n v="649009"/>
  </r>
  <r>
    <x v="20"/>
    <x v="79"/>
    <x v="1"/>
    <x v="5"/>
    <n v="1254706"/>
  </r>
  <r>
    <x v="20"/>
    <x v="79"/>
    <x v="1"/>
    <x v="6"/>
    <n v="0"/>
  </r>
  <r>
    <x v="20"/>
    <x v="79"/>
    <x v="1"/>
    <x v="7"/>
    <n v="-220464"/>
  </r>
  <r>
    <x v="20"/>
    <x v="79"/>
    <x v="1"/>
    <x v="8"/>
    <n v="1051970"/>
  </r>
  <r>
    <x v="20"/>
    <x v="79"/>
    <x v="1"/>
    <x v="9"/>
    <n v="547312"/>
  </r>
  <r>
    <x v="20"/>
    <x v="80"/>
    <x v="0"/>
    <x v="0"/>
    <n v="163477"/>
  </r>
  <r>
    <x v="20"/>
    <x v="80"/>
    <x v="0"/>
    <x v="1"/>
    <n v="1907578"/>
  </r>
  <r>
    <x v="20"/>
    <x v="80"/>
    <x v="0"/>
    <x v="2"/>
    <n v="152080"/>
  </r>
  <r>
    <x v="20"/>
    <x v="80"/>
    <x v="0"/>
    <x v="3"/>
    <n v="-493891"/>
  </r>
  <r>
    <x v="20"/>
    <x v="80"/>
    <x v="0"/>
    <x v="4"/>
    <n v="2121273"/>
  </r>
  <r>
    <x v="20"/>
    <x v="80"/>
    <x v="0"/>
    <x v="5"/>
    <n v="4060336"/>
  </r>
  <r>
    <x v="20"/>
    <x v="80"/>
    <x v="0"/>
    <x v="6"/>
    <n v="0"/>
  </r>
  <r>
    <x v="20"/>
    <x v="80"/>
    <x v="0"/>
    <x v="7"/>
    <n v="-210592"/>
  </r>
  <r>
    <x v="20"/>
    <x v="80"/>
    <x v="0"/>
    <x v="8"/>
    <n v="3523615"/>
  </r>
  <r>
    <x v="20"/>
    <x v="80"/>
    <x v="0"/>
    <x v="9"/>
    <n v="921882"/>
  </r>
  <r>
    <x v="20"/>
    <x v="80"/>
    <x v="1"/>
    <x v="0"/>
    <n v="299607"/>
  </r>
  <r>
    <x v="20"/>
    <x v="80"/>
    <x v="1"/>
    <x v="1"/>
    <n v="2509664"/>
  </r>
  <r>
    <x v="20"/>
    <x v="80"/>
    <x v="1"/>
    <x v="2"/>
    <n v="166346"/>
  </r>
  <r>
    <x v="20"/>
    <x v="80"/>
    <x v="1"/>
    <x v="3"/>
    <n v="-665167"/>
  </r>
  <r>
    <x v="20"/>
    <x v="80"/>
    <x v="1"/>
    <x v="4"/>
    <n v="2121273"/>
  </r>
  <r>
    <x v="20"/>
    <x v="80"/>
    <x v="1"/>
    <x v="5"/>
    <n v="4389125"/>
  </r>
  <r>
    <x v="20"/>
    <x v="80"/>
    <x v="1"/>
    <x v="6"/>
    <n v="-1228"/>
  </r>
  <r>
    <x v="20"/>
    <x v="80"/>
    <x v="1"/>
    <x v="7"/>
    <n v="-55279"/>
  </r>
  <r>
    <x v="20"/>
    <x v="80"/>
    <x v="1"/>
    <x v="8"/>
    <n v="3508820"/>
  </r>
  <r>
    <x v="20"/>
    <x v="80"/>
    <x v="1"/>
    <x v="9"/>
    <n v="2345765"/>
  </r>
  <r>
    <x v="20"/>
    <x v="38"/>
    <x v="0"/>
    <x v="0"/>
    <n v="1043654"/>
  </r>
  <r>
    <x v="20"/>
    <x v="38"/>
    <x v="0"/>
    <x v="1"/>
    <n v="7167784"/>
  </r>
  <r>
    <x v="20"/>
    <x v="38"/>
    <x v="0"/>
    <x v="2"/>
    <n v="1131139"/>
  </r>
  <r>
    <x v="20"/>
    <x v="38"/>
    <x v="0"/>
    <x v="3"/>
    <n v="-1690169"/>
  </r>
  <r>
    <x v="20"/>
    <x v="38"/>
    <x v="0"/>
    <x v="4"/>
    <n v="4590238"/>
  </r>
  <r>
    <x v="20"/>
    <x v="38"/>
    <x v="0"/>
    <x v="5"/>
    <n v="14499986"/>
  </r>
  <r>
    <x v="20"/>
    <x v="38"/>
    <x v="0"/>
    <x v="6"/>
    <m/>
  </r>
  <r>
    <x v="20"/>
    <x v="38"/>
    <x v="0"/>
    <x v="7"/>
    <n v="-826068"/>
  </r>
  <r>
    <x v="20"/>
    <x v="38"/>
    <x v="0"/>
    <x v="8"/>
    <n v="16170724"/>
  </r>
  <r>
    <x v="20"/>
    <x v="38"/>
    <x v="0"/>
    <x v="9"/>
    <n v="3945702"/>
  </r>
  <r>
    <x v="20"/>
    <x v="38"/>
    <x v="1"/>
    <x v="0"/>
    <n v="2142880"/>
  </r>
  <r>
    <x v="20"/>
    <x v="38"/>
    <x v="1"/>
    <x v="1"/>
    <n v="8907091"/>
  </r>
  <r>
    <x v="20"/>
    <x v="38"/>
    <x v="1"/>
    <x v="2"/>
    <n v="1164175"/>
  </r>
  <r>
    <x v="20"/>
    <x v="38"/>
    <x v="1"/>
    <x v="3"/>
    <n v="-2881389"/>
  </r>
  <r>
    <x v="20"/>
    <x v="38"/>
    <x v="1"/>
    <x v="4"/>
    <n v="4590238"/>
  </r>
  <r>
    <x v="20"/>
    <x v="38"/>
    <x v="1"/>
    <x v="5"/>
    <n v="16115685"/>
  </r>
  <r>
    <x v="20"/>
    <x v="38"/>
    <x v="1"/>
    <x v="6"/>
    <n v="61527"/>
  </r>
  <r>
    <x v="20"/>
    <x v="38"/>
    <x v="1"/>
    <x v="7"/>
    <n v="-670554"/>
  </r>
  <r>
    <x v="20"/>
    <x v="38"/>
    <x v="1"/>
    <x v="8"/>
    <n v="16104043"/>
  </r>
  <r>
    <x v="20"/>
    <x v="38"/>
    <x v="1"/>
    <x v="9"/>
    <n v="9784858"/>
  </r>
  <r>
    <x v="20"/>
    <x v="39"/>
    <x v="0"/>
    <x v="0"/>
    <n v="148721"/>
  </r>
  <r>
    <x v="20"/>
    <x v="39"/>
    <x v="0"/>
    <x v="1"/>
    <n v="1422738"/>
  </r>
  <r>
    <x v="20"/>
    <x v="39"/>
    <x v="0"/>
    <x v="2"/>
    <n v="266497"/>
  </r>
  <r>
    <x v="20"/>
    <x v="39"/>
    <x v="0"/>
    <x v="3"/>
    <n v="-92717"/>
  </r>
  <r>
    <x v="20"/>
    <x v="39"/>
    <x v="0"/>
    <x v="4"/>
    <n v="877133"/>
  </r>
  <r>
    <x v="20"/>
    <x v="39"/>
    <x v="0"/>
    <x v="5"/>
    <n v="2762465"/>
  </r>
  <r>
    <x v="20"/>
    <x v="39"/>
    <x v="0"/>
    <x v="6"/>
    <n v="0"/>
  </r>
  <r>
    <x v="20"/>
    <x v="39"/>
    <x v="0"/>
    <x v="7"/>
    <n v="136931"/>
  </r>
  <r>
    <x v="20"/>
    <x v="39"/>
    <x v="0"/>
    <x v="8"/>
    <n v="2678078"/>
  </r>
  <r>
    <x v="20"/>
    <x v="39"/>
    <x v="0"/>
    <x v="9"/>
    <n v="1274858"/>
  </r>
  <r>
    <x v="20"/>
    <x v="39"/>
    <x v="1"/>
    <x v="0"/>
    <n v="388245"/>
  </r>
  <r>
    <x v="20"/>
    <x v="39"/>
    <x v="1"/>
    <x v="1"/>
    <n v="1934037"/>
  </r>
  <r>
    <x v="20"/>
    <x v="39"/>
    <x v="1"/>
    <x v="2"/>
    <n v="278177"/>
  </r>
  <r>
    <x v="20"/>
    <x v="39"/>
    <x v="1"/>
    <x v="3"/>
    <n v="-423935"/>
  </r>
  <r>
    <x v="20"/>
    <x v="39"/>
    <x v="1"/>
    <x v="4"/>
    <n v="877133"/>
  </r>
  <r>
    <x v="20"/>
    <x v="39"/>
    <x v="1"/>
    <x v="5"/>
    <n v="3315679"/>
  </r>
  <r>
    <x v="20"/>
    <x v="39"/>
    <x v="1"/>
    <x v="6"/>
    <n v="-610"/>
  </r>
  <r>
    <x v="20"/>
    <x v="39"/>
    <x v="1"/>
    <x v="7"/>
    <n v="-39105"/>
  </r>
  <r>
    <x v="20"/>
    <x v="39"/>
    <x v="1"/>
    <x v="8"/>
    <n v="2665935"/>
  </r>
  <r>
    <x v="20"/>
    <x v="39"/>
    <x v="1"/>
    <x v="9"/>
    <n v="2758510"/>
  </r>
  <r>
    <x v="20"/>
    <x v="40"/>
    <x v="0"/>
    <x v="0"/>
    <n v="138359"/>
  </r>
  <r>
    <x v="20"/>
    <x v="40"/>
    <x v="0"/>
    <x v="1"/>
    <n v="925051"/>
  </r>
  <r>
    <x v="20"/>
    <x v="40"/>
    <x v="0"/>
    <x v="2"/>
    <n v="111306"/>
  </r>
  <r>
    <x v="20"/>
    <x v="40"/>
    <x v="0"/>
    <x v="3"/>
    <n v="32692"/>
  </r>
  <r>
    <x v="20"/>
    <x v="40"/>
    <x v="0"/>
    <x v="4"/>
    <n v="860878"/>
  </r>
  <r>
    <x v="20"/>
    <x v="40"/>
    <x v="0"/>
    <x v="5"/>
    <n v="1577184"/>
  </r>
  <r>
    <x v="20"/>
    <x v="40"/>
    <x v="0"/>
    <x v="7"/>
    <n v="165433"/>
  </r>
  <r>
    <x v="20"/>
    <x v="40"/>
    <x v="0"/>
    <x v="8"/>
    <n v="1679710"/>
  </r>
  <r>
    <x v="20"/>
    <x v="40"/>
    <x v="0"/>
    <x v="9"/>
    <n v="344053"/>
  </r>
  <r>
    <x v="20"/>
    <x v="40"/>
    <x v="1"/>
    <x v="0"/>
    <n v="188489"/>
  </r>
  <r>
    <x v="20"/>
    <x v="40"/>
    <x v="1"/>
    <x v="1"/>
    <n v="1108769"/>
  </r>
  <r>
    <x v="20"/>
    <x v="40"/>
    <x v="1"/>
    <x v="2"/>
    <n v="115976"/>
  </r>
  <r>
    <x v="20"/>
    <x v="40"/>
    <x v="1"/>
    <x v="3"/>
    <n v="-17453"/>
  </r>
  <r>
    <x v="20"/>
    <x v="40"/>
    <x v="1"/>
    <x v="4"/>
    <n v="860878"/>
  </r>
  <r>
    <x v="20"/>
    <x v="40"/>
    <x v="1"/>
    <x v="5"/>
    <n v="1971761"/>
  </r>
  <r>
    <x v="20"/>
    <x v="40"/>
    <x v="1"/>
    <x v="7"/>
    <n v="436012"/>
  </r>
  <r>
    <x v="20"/>
    <x v="40"/>
    <x v="1"/>
    <x v="8"/>
    <n v="1670607"/>
  </r>
  <r>
    <x v="20"/>
    <x v="40"/>
    <x v="1"/>
    <x v="9"/>
    <n v="1306975"/>
  </r>
  <r>
    <x v="20"/>
    <x v="41"/>
    <x v="0"/>
    <x v="0"/>
    <n v="100866"/>
  </r>
  <r>
    <x v="20"/>
    <x v="41"/>
    <x v="0"/>
    <x v="1"/>
    <n v="717451"/>
  </r>
  <r>
    <x v="20"/>
    <x v="41"/>
    <x v="0"/>
    <x v="2"/>
    <n v="69191"/>
  </r>
  <r>
    <x v="20"/>
    <x v="41"/>
    <x v="0"/>
    <x v="3"/>
    <n v="-31049"/>
  </r>
  <r>
    <x v="20"/>
    <x v="41"/>
    <x v="0"/>
    <x v="4"/>
    <n v="769616"/>
  </r>
  <r>
    <x v="20"/>
    <x v="41"/>
    <x v="0"/>
    <x v="5"/>
    <n v="1497103"/>
  </r>
  <r>
    <x v="20"/>
    <x v="41"/>
    <x v="0"/>
    <x v="6"/>
    <n v="0"/>
  </r>
  <r>
    <x v="20"/>
    <x v="41"/>
    <x v="0"/>
    <x v="7"/>
    <n v="174271"/>
  </r>
  <r>
    <x v="20"/>
    <x v="41"/>
    <x v="0"/>
    <x v="8"/>
    <n v="1512625"/>
  </r>
  <r>
    <x v="20"/>
    <x v="41"/>
    <x v="0"/>
    <x v="9"/>
    <n v="307690"/>
  </r>
  <r>
    <x v="20"/>
    <x v="41"/>
    <x v="1"/>
    <x v="0"/>
    <n v="177333"/>
  </r>
  <r>
    <x v="20"/>
    <x v="41"/>
    <x v="1"/>
    <x v="1"/>
    <n v="832052"/>
  </r>
  <r>
    <x v="20"/>
    <x v="41"/>
    <x v="1"/>
    <x v="2"/>
    <n v="71139"/>
  </r>
  <r>
    <x v="20"/>
    <x v="41"/>
    <x v="1"/>
    <x v="3"/>
    <n v="-88741"/>
  </r>
  <r>
    <x v="20"/>
    <x v="41"/>
    <x v="1"/>
    <x v="4"/>
    <n v="769616"/>
  </r>
  <r>
    <x v="20"/>
    <x v="41"/>
    <x v="1"/>
    <x v="5"/>
    <n v="1611310"/>
  </r>
  <r>
    <x v="20"/>
    <x v="41"/>
    <x v="1"/>
    <x v="6"/>
    <n v="-16094"/>
  </r>
  <r>
    <x v="20"/>
    <x v="41"/>
    <x v="1"/>
    <x v="7"/>
    <n v="173736"/>
  </r>
  <r>
    <x v="20"/>
    <x v="41"/>
    <x v="1"/>
    <x v="8"/>
    <n v="1506084"/>
  </r>
  <r>
    <x v="20"/>
    <x v="41"/>
    <x v="1"/>
    <x v="9"/>
    <n v="694705"/>
  </r>
  <r>
    <x v="20"/>
    <x v="42"/>
    <x v="0"/>
    <x v="0"/>
    <n v="34895"/>
  </r>
  <r>
    <x v="20"/>
    <x v="42"/>
    <x v="0"/>
    <x v="1"/>
    <n v="527246"/>
  </r>
  <r>
    <x v="20"/>
    <x v="42"/>
    <x v="0"/>
    <x v="3"/>
    <n v="13044"/>
  </r>
  <r>
    <x v="20"/>
    <x v="42"/>
    <x v="0"/>
    <x v="4"/>
    <n v="415954"/>
  </r>
  <r>
    <x v="20"/>
    <x v="42"/>
    <x v="0"/>
    <x v="5"/>
    <n v="680854"/>
  </r>
  <r>
    <x v="20"/>
    <x v="42"/>
    <x v="0"/>
    <x v="7"/>
    <n v="157670"/>
  </r>
  <r>
    <x v="20"/>
    <x v="42"/>
    <x v="0"/>
    <x v="8"/>
    <n v="828004"/>
  </r>
  <r>
    <x v="20"/>
    <x v="42"/>
    <x v="0"/>
    <x v="9"/>
    <n v="143663"/>
  </r>
  <r>
    <x v="20"/>
    <x v="42"/>
    <x v="1"/>
    <x v="0"/>
    <n v="40147"/>
  </r>
  <r>
    <x v="20"/>
    <x v="42"/>
    <x v="1"/>
    <x v="1"/>
    <n v="526093"/>
  </r>
  <r>
    <x v="20"/>
    <x v="42"/>
    <x v="1"/>
    <x v="3"/>
    <n v="-6217"/>
  </r>
  <r>
    <x v="20"/>
    <x v="42"/>
    <x v="1"/>
    <x v="4"/>
    <n v="415954"/>
  </r>
  <r>
    <x v="20"/>
    <x v="42"/>
    <x v="1"/>
    <x v="5"/>
    <n v="680854"/>
  </r>
  <r>
    <x v="20"/>
    <x v="42"/>
    <x v="1"/>
    <x v="7"/>
    <n v="146521"/>
  </r>
  <r>
    <x v="20"/>
    <x v="42"/>
    <x v="1"/>
    <x v="8"/>
    <n v="826986"/>
  </r>
  <r>
    <x v="20"/>
    <x v="42"/>
    <x v="1"/>
    <x v="9"/>
    <n v="156892"/>
  </r>
  <r>
    <x v="20"/>
    <x v="43"/>
    <x v="0"/>
    <x v="0"/>
    <n v="30555"/>
  </r>
  <r>
    <x v="20"/>
    <x v="43"/>
    <x v="0"/>
    <x v="1"/>
    <n v="377427"/>
  </r>
  <r>
    <x v="20"/>
    <x v="43"/>
    <x v="0"/>
    <x v="2"/>
    <m/>
  </r>
  <r>
    <x v="20"/>
    <x v="43"/>
    <x v="0"/>
    <x v="3"/>
    <n v="-22821"/>
  </r>
  <r>
    <x v="20"/>
    <x v="43"/>
    <x v="0"/>
    <x v="4"/>
    <n v="247805"/>
  </r>
  <r>
    <x v="20"/>
    <x v="43"/>
    <x v="0"/>
    <x v="5"/>
    <n v="512399"/>
  </r>
  <r>
    <x v="20"/>
    <x v="43"/>
    <x v="0"/>
    <x v="6"/>
    <m/>
  </r>
  <r>
    <x v="20"/>
    <x v="43"/>
    <x v="0"/>
    <x v="7"/>
    <n v="47623"/>
  </r>
  <r>
    <x v="20"/>
    <x v="43"/>
    <x v="0"/>
    <x v="8"/>
    <n v="545311"/>
  </r>
  <r>
    <x v="20"/>
    <x v="43"/>
    <x v="0"/>
    <x v="9"/>
    <n v="197709"/>
  </r>
  <r>
    <x v="20"/>
    <x v="43"/>
    <x v="1"/>
    <x v="0"/>
    <n v="37514"/>
  </r>
  <r>
    <x v="20"/>
    <x v="43"/>
    <x v="1"/>
    <x v="1"/>
    <n v="406833"/>
  </r>
  <r>
    <x v="20"/>
    <x v="43"/>
    <x v="1"/>
    <x v="2"/>
    <n v="97"/>
  </r>
  <r>
    <x v="20"/>
    <x v="43"/>
    <x v="1"/>
    <x v="3"/>
    <n v="-23828"/>
  </r>
  <r>
    <x v="20"/>
    <x v="43"/>
    <x v="1"/>
    <x v="4"/>
    <n v="247805"/>
  </r>
  <r>
    <x v="20"/>
    <x v="43"/>
    <x v="1"/>
    <x v="5"/>
    <n v="565110"/>
  </r>
  <r>
    <x v="20"/>
    <x v="43"/>
    <x v="1"/>
    <x v="6"/>
    <n v="1666"/>
  </r>
  <r>
    <x v="20"/>
    <x v="43"/>
    <x v="1"/>
    <x v="7"/>
    <n v="56530"/>
  </r>
  <r>
    <x v="20"/>
    <x v="43"/>
    <x v="1"/>
    <x v="8"/>
    <n v="545311"/>
  </r>
  <r>
    <x v="20"/>
    <x v="43"/>
    <x v="1"/>
    <x v="9"/>
    <n v="295130"/>
  </r>
  <r>
    <x v="20"/>
    <x v="44"/>
    <x v="0"/>
    <x v="0"/>
    <n v="31228"/>
  </r>
  <r>
    <x v="20"/>
    <x v="44"/>
    <x v="0"/>
    <x v="1"/>
    <n v="177872"/>
  </r>
  <r>
    <x v="20"/>
    <x v="44"/>
    <x v="0"/>
    <x v="2"/>
    <n v="0"/>
  </r>
  <r>
    <x v="20"/>
    <x v="44"/>
    <x v="0"/>
    <x v="3"/>
    <n v="7249"/>
  </r>
  <r>
    <x v="20"/>
    <x v="44"/>
    <x v="0"/>
    <x v="4"/>
    <n v="241843"/>
  </r>
  <r>
    <x v="20"/>
    <x v="44"/>
    <x v="0"/>
    <x v="5"/>
    <n v="324841"/>
  </r>
  <r>
    <x v="20"/>
    <x v="44"/>
    <x v="0"/>
    <x v="6"/>
    <n v="0"/>
  </r>
  <r>
    <x v="20"/>
    <x v="44"/>
    <x v="0"/>
    <x v="7"/>
    <n v="118267"/>
  </r>
  <r>
    <x v="20"/>
    <x v="44"/>
    <x v="0"/>
    <x v="8"/>
    <n v="358118"/>
  </r>
  <r>
    <x v="20"/>
    <x v="44"/>
    <x v="0"/>
    <x v="9"/>
    <n v="44998"/>
  </r>
  <r>
    <x v="20"/>
    <x v="44"/>
    <x v="1"/>
    <x v="0"/>
    <n v="32562"/>
  </r>
  <r>
    <x v="20"/>
    <x v="44"/>
    <x v="1"/>
    <x v="1"/>
    <n v="192759"/>
  </r>
  <r>
    <x v="20"/>
    <x v="44"/>
    <x v="1"/>
    <x v="2"/>
    <n v="0"/>
  </r>
  <r>
    <x v="20"/>
    <x v="44"/>
    <x v="1"/>
    <x v="3"/>
    <n v="-2993"/>
  </r>
  <r>
    <x v="20"/>
    <x v="44"/>
    <x v="1"/>
    <x v="4"/>
    <n v="241843"/>
  </r>
  <r>
    <x v="20"/>
    <x v="44"/>
    <x v="1"/>
    <x v="5"/>
    <n v="324841"/>
  </r>
  <r>
    <x v="20"/>
    <x v="44"/>
    <x v="1"/>
    <x v="6"/>
    <n v="0"/>
  </r>
  <r>
    <x v="20"/>
    <x v="44"/>
    <x v="1"/>
    <x v="7"/>
    <n v="96588"/>
  </r>
  <r>
    <x v="20"/>
    <x v="44"/>
    <x v="1"/>
    <x v="8"/>
    <n v="357402"/>
  </r>
  <r>
    <x v="20"/>
    <x v="44"/>
    <x v="1"/>
    <x v="9"/>
    <n v="50498"/>
  </r>
  <r>
    <x v="20"/>
    <x v="45"/>
    <x v="0"/>
    <x v="0"/>
    <n v="24683"/>
  </r>
  <r>
    <x v="20"/>
    <x v="45"/>
    <x v="0"/>
    <x v="1"/>
    <n v="182924"/>
  </r>
  <r>
    <x v="20"/>
    <x v="45"/>
    <x v="0"/>
    <x v="2"/>
    <n v="13099"/>
  </r>
  <r>
    <x v="20"/>
    <x v="45"/>
    <x v="0"/>
    <x v="3"/>
    <n v="-928"/>
  </r>
  <r>
    <x v="20"/>
    <x v="45"/>
    <x v="0"/>
    <x v="4"/>
    <n v="142693"/>
  </r>
  <r>
    <x v="20"/>
    <x v="45"/>
    <x v="0"/>
    <x v="5"/>
    <n v="305902"/>
  </r>
  <r>
    <x v="20"/>
    <x v="45"/>
    <x v="0"/>
    <x v="6"/>
    <n v="0"/>
  </r>
  <r>
    <x v="20"/>
    <x v="45"/>
    <x v="0"/>
    <x v="7"/>
    <n v="-12585"/>
  </r>
  <r>
    <x v="20"/>
    <x v="45"/>
    <x v="0"/>
    <x v="8"/>
    <n v="306131"/>
  </r>
  <r>
    <x v="20"/>
    <x v="45"/>
    <x v="0"/>
    <x v="9"/>
    <n v="66127"/>
  </r>
  <r>
    <x v="20"/>
    <x v="45"/>
    <x v="1"/>
    <x v="0"/>
    <n v="30867"/>
  </r>
  <r>
    <x v="20"/>
    <x v="45"/>
    <x v="1"/>
    <x v="1"/>
    <n v="206724"/>
  </r>
  <r>
    <x v="20"/>
    <x v="45"/>
    <x v="1"/>
    <x v="2"/>
    <n v="13099"/>
  </r>
  <r>
    <x v="20"/>
    <x v="45"/>
    <x v="1"/>
    <x v="3"/>
    <n v="-13591"/>
  </r>
  <r>
    <x v="20"/>
    <x v="45"/>
    <x v="1"/>
    <x v="4"/>
    <n v="142693"/>
  </r>
  <r>
    <x v="20"/>
    <x v="45"/>
    <x v="1"/>
    <x v="5"/>
    <n v="468982"/>
  </r>
  <r>
    <x v="20"/>
    <x v="45"/>
    <x v="1"/>
    <x v="6"/>
    <n v="0"/>
  </r>
  <r>
    <x v="20"/>
    <x v="45"/>
    <x v="1"/>
    <x v="7"/>
    <n v="-17025"/>
  </r>
  <r>
    <x v="20"/>
    <x v="45"/>
    <x v="1"/>
    <x v="8"/>
    <n v="303805"/>
  </r>
  <r>
    <x v="20"/>
    <x v="45"/>
    <x v="1"/>
    <x v="9"/>
    <n v="269740"/>
  </r>
  <r>
    <x v="20"/>
    <x v="47"/>
    <x v="0"/>
    <x v="0"/>
    <n v="665.6"/>
  </r>
  <r>
    <x v="20"/>
    <x v="47"/>
    <x v="0"/>
    <x v="1"/>
    <n v="33071.199999999997"/>
  </r>
  <r>
    <x v="20"/>
    <x v="47"/>
    <x v="0"/>
    <x v="3"/>
    <n v="1458.6"/>
  </r>
  <r>
    <x v="20"/>
    <x v="47"/>
    <x v="0"/>
    <x v="4"/>
    <n v="13452"/>
  </r>
  <r>
    <x v="20"/>
    <x v="47"/>
    <x v="0"/>
    <x v="5"/>
    <n v="9922.7999999999993"/>
  </r>
  <r>
    <x v="20"/>
    <x v="47"/>
    <x v="0"/>
    <x v="6"/>
    <n v="-19427.8"/>
  </r>
  <r>
    <x v="20"/>
    <x v="47"/>
    <x v="0"/>
    <x v="7"/>
    <n v="-8073.1999999999989"/>
  </r>
  <r>
    <x v="20"/>
    <x v="47"/>
    <x v="0"/>
    <x v="8"/>
    <n v="39944.199999999997"/>
  </r>
  <r>
    <x v="20"/>
    <x v="47"/>
    <x v="0"/>
    <x v="9"/>
    <n v="159.4"/>
  </r>
  <r>
    <x v="20"/>
    <x v="47"/>
    <x v="1"/>
    <x v="0"/>
    <n v="665.6"/>
  </r>
  <r>
    <x v="20"/>
    <x v="47"/>
    <x v="1"/>
    <x v="1"/>
    <n v="33071.199999999997"/>
  </r>
  <r>
    <x v="20"/>
    <x v="47"/>
    <x v="1"/>
    <x v="3"/>
    <n v="1458.6"/>
  </r>
  <r>
    <x v="20"/>
    <x v="47"/>
    <x v="1"/>
    <x v="4"/>
    <n v="13452"/>
  </r>
  <r>
    <x v="20"/>
    <x v="47"/>
    <x v="1"/>
    <x v="5"/>
    <n v="9922.7999999999993"/>
  </r>
  <r>
    <x v="20"/>
    <x v="47"/>
    <x v="1"/>
    <x v="6"/>
    <n v="-19427.8"/>
  </r>
  <r>
    <x v="20"/>
    <x v="47"/>
    <x v="1"/>
    <x v="7"/>
    <n v="-8073.1999999999989"/>
  </r>
  <r>
    <x v="20"/>
    <x v="47"/>
    <x v="1"/>
    <x v="8"/>
    <n v="39944.199999999997"/>
  </r>
  <r>
    <x v="20"/>
    <x v="47"/>
    <x v="1"/>
    <x v="9"/>
    <n v="159.4"/>
  </r>
  <r>
    <x v="20"/>
    <x v="81"/>
    <x v="0"/>
    <x v="0"/>
    <n v="69405"/>
  </r>
  <r>
    <x v="20"/>
    <x v="81"/>
    <x v="0"/>
    <x v="1"/>
    <n v="722709"/>
  </r>
  <r>
    <x v="20"/>
    <x v="81"/>
    <x v="0"/>
    <x v="2"/>
    <n v="7287"/>
  </r>
  <r>
    <x v="20"/>
    <x v="81"/>
    <x v="0"/>
    <x v="3"/>
    <n v="-60177"/>
  </r>
  <r>
    <x v="20"/>
    <x v="81"/>
    <x v="0"/>
    <x v="4"/>
    <n v="538823"/>
  </r>
  <r>
    <x v="20"/>
    <x v="81"/>
    <x v="0"/>
    <x v="5"/>
    <n v="1214753"/>
  </r>
  <r>
    <x v="20"/>
    <x v="81"/>
    <x v="0"/>
    <x v="6"/>
    <n v="0"/>
  </r>
  <r>
    <x v="20"/>
    <x v="81"/>
    <x v="0"/>
    <x v="7"/>
    <n v="-18425"/>
  </r>
  <r>
    <x v="20"/>
    <x v="81"/>
    <x v="0"/>
    <x v="8"/>
    <n v="1320688"/>
  </r>
  <r>
    <x v="20"/>
    <x v="81"/>
    <x v="0"/>
    <x v="9"/>
    <n v="196395"/>
  </r>
  <r>
    <x v="20"/>
    <x v="81"/>
    <x v="1"/>
    <x v="0"/>
    <n v="96504"/>
  </r>
  <r>
    <x v="20"/>
    <x v="81"/>
    <x v="1"/>
    <x v="1"/>
    <n v="835993"/>
  </r>
  <r>
    <x v="20"/>
    <x v="81"/>
    <x v="1"/>
    <x v="2"/>
    <n v="7287"/>
  </r>
  <r>
    <x v="20"/>
    <x v="81"/>
    <x v="1"/>
    <x v="3"/>
    <n v="-107288"/>
  </r>
  <r>
    <x v="20"/>
    <x v="81"/>
    <x v="1"/>
    <x v="4"/>
    <n v="538823"/>
  </r>
  <r>
    <x v="20"/>
    <x v="81"/>
    <x v="1"/>
    <x v="5"/>
    <n v="1355824"/>
  </r>
  <r>
    <x v="20"/>
    <x v="81"/>
    <x v="1"/>
    <x v="6"/>
    <n v="-13888"/>
  </r>
  <r>
    <x v="20"/>
    <x v="81"/>
    <x v="1"/>
    <x v="7"/>
    <n v="-46262"/>
  </r>
  <r>
    <x v="20"/>
    <x v="81"/>
    <x v="1"/>
    <x v="8"/>
    <n v="1317025"/>
  </r>
  <r>
    <x v="20"/>
    <x v="81"/>
    <x v="1"/>
    <x v="9"/>
    <n v="514674"/>
  </r>
  <r>
    <x v="20"/>
    <x v="82"/>
    <x v="0"/>
    <x v="0"/>
    <n v="53157"/>
  </r>
  <r>
    <x v="20"/>
    <x v="82"/>
    <x v="0"/>
    <x v="1"/>
    <n v="375280"/>
  </r>
  <r>
    <x v="20"/>
    <x v="82"/>
    <x v="0"/>
    <x v="2"/>
    <n v="5330"/>
  </r>
  <r>
    <x v="20"/>
    <x v="82"/>
    <x v="0"/>
    <x v="3"/>
    <n v="-75775"/>
  </r>
  <r>
    <x v="20"/>
    <x v="82"/>
    <x v="0"/>
    <x v="4"/>
    <n v="390489"/>
  </r>
  <r>
    <x v="20"/>
    <x v="82"/>
    <x v="0"/>
    <x v="5"/>
    <n v="458283"/>
  </r>
  <r>
    <x v="20"/>
    <x v="82"/>
    <x v="0"/>
    <x v="6"/>
    <n v="0"/>
  </r>
  <r>
    <x v="20"/>
    <x v="82"/>
    <x v="0"/>
    <x v="7"/>
    <n v="24056"/>
  </r>
  <r>
    <x v="20"/>
    <x v="82"/>
    <x v="0"/>
    <x v="8"/>
    <n v="442697"/>
  </r>
  <r>
    <x v="20"/>
    <x v="82"/>
    <x v="0"/>
    <x v="9"/>
    <n v="158695"/>
  </r>
  <r>
    <x v="20"/>
    <x v="82"/>
    <x v="1"/>
    <x v="0"/>
    <n v="76503"/>
  </r>
  <r>
    <x v="20"/>
    <x v="82"/>
    <x v="1"/>
    <x v="1"/>
    <n v="408632"/>
  </r>
  <r>
    <x v="20"/>
    <x v="82"/>
    <x v="1"/>
    <x v="2"/>
    <n v="5330"/>
  </r>
  <r>
    <x v="20"/>
    <x v="82"/>
    <x v="1"/>
    <x v="3"/>
    <n v="-91875"/>
  </r>
  <r>
    <x v="20"/>
    <x v="82"/>
    <x v="1"/>
    <x v="4"/>
    <n v="390489"/>
  </r>
  <r>
    <x v="20"/>
    <x v="82"/>
    <x v="1"/>
    <x v="5"/>
    <n v="626675"/>
  </r>
  <r>
    <x v="20"/>
    <x v="82"/>
    <x v="1"/>
    <x v="6"/>
    <n v="0"/>
  </r>
  <r>
    <x v="20"/>
    <x v="82"/>
    <x v="1"/>
    <x v="7"/>
    <n v="62396"/>
  </r>
  <r>
    <x v="20"/>
    <x v="82"/>
    <x v="1"/>
    <x v="8"/>
    <n v="442278"/>
  </r>
  <r>
    <x v="20"/>
    <x v="82"/>
    <x v="1"/>
    <x v="9"/>
    <n v="438644"/>
  </r>
  <r>
    <x v="20"/>
    <x v="52"/>
    <x v="0"/>
    <x v="0"/>
    <n v="290813"/>
  </r>
  <r>
    <x v="20"/>
    <x v="52"/>
    <x v="0"/>
    <x v="1"/>
    <n v="2163505"/>
  </r>
  <r>
    <x v="20"/>
    <x v="52"/>
    <x v="0"/>
    <x v="2"/>
    <n v="383104"/>
  </r>
  <r>
    <x v="20"/>
    <x v="52"/>
    <x v="0"/>
    <x v="3"/>
    <n v="-453755"/>
  </r>
  <r>
    <x v="20"/>
    <x v="52"/>
    <x v="0"/>
    <x v="4"/>
    <n v="1173865"/>
  </r>
  <r>
    <x v="20"/>
    <x v="52"/>
    <x v="0"/>
    <x v="5"/>
    <n v="4642603"/>
  </r>
  <r>
    <x v="20"/>
    <x v="52"/>
    <x v="0"/>
    <x v="6"/>
    <m/>
  </r>
  <r>
    <x v="20"/>
    <x v="52"/>
    <x v="0"/>
    <x v="7"/>
    <n v="-373346"/>
  </r>
  <r>
    <x v="20"/>
    <x v="52"/>
    <x v="0"/>
    <x v="8"/>
    <n v="5165726"/>
  </r>
  <r>
    <x v="20"/>
    <x v="52"/>
    <x v="0"/>
    <x v="9"/>
    <n v="1220843"/>
  </r>
  <r>
    <x v="20"/>
    <x v="52"/>
    <x v="1"/>
    <x v="0"/>
    <n v="619251"/>
  </r>
  <r>
    <x v="20"/>
    <x v="52"/>
    <x v="1"/>
    <x v="1"/>
    <n v="2795671"/>
  </r>
  <r>
    <x v="20"/>
    <x v="52"/>
    <x v="1"/>
    <x v="2"/>
    <n v="387049"/>
  </r>
  <r>
    <x v="20"/>
    <x v="52"/>
    <x v="1"/>
    <x v="3"/>
    <n v="-602795"/>
  </r>
  <r>
    <x v="20"/>
    <x v="52"/>
    <x v="1"/>
    <x v="4"/>
    <n v="1173865"/>
  </r>
  <r>
    <x v="20"/>
    <x v="52"/>
    <x v="1"/>
    <x v="5"/>
    <n v="5015762"/>
  </r>
  <r>
    <x v="20"/>
    <x v="52"/>
    <x v="1"/>
    <x v="6"/>
    <n v="5513"/>
  </r>
  <r>
    <x v="20"/>
    <x v="52"/>
    <x v="1"/>
    <x v="7"/>
    <n v="28473"/>
  </r>
  <r>
    <x v="20"/>
    <x v="52"/>
    <x v="1"/>
    <x v="8"/>
    <n v="5153282"/>
  </r>
  <r>
    <x v="20"/>
    <x v="52"/>
    <x v="1"/>
    <x v="9"/>
    <n v="3116341"/>
  </r>
  <r>
    <x v="20"/>
    <x v="77"/>
    <x v="0"/>
    <x v="0"/>
    <n v="236599"/>
  </r>
  <r>
    <x v="20"/>
    <x v="77"/>
    <x v="0"/>
    <x v="1"/>
    <n v="2425562"/>
  </r>
  <r>
    <x v="20"/>
    <x v="77"/>
    <x v="0"/>
    <x v="2"/>
    <n v="106006"/>
  </r>
  <r>
    <x v="20"/>
    <x v="77"/>
    <x v="0"/>
    <x v="3"/>
    <n v="-670653"/>
  </r>
  <r>
    <x v="20"/>
    <x v="77"/>
    <x v="0"/>
    <x v="4"/>
    <n v="2186583"/>
  </r>
  <r>
    <x v="20"/>
    <x v="77"/>
    <x v="0"/>
    <x v="5"/>
    <n v="4413762"/>
  </r>
  <r>
    <x v="20"/>
    <x v="77"/>
    <x v="0"/>
    <x v="6"/>
    <n v="0"/>
  </r>
  <r>
    <x v="20"/>
    <x v="77"/>
    <x v="0"/>
    <x v="7"/>
    <n v="-548353"/>
  </r>
  <r>
    <x v="20"/>
    <x v="77"/>
    <x v="0"/>
    <x v="8"/>
    <n v="4018455"/>
  </r>
  <r>
    <x v="20"/>
    <x v="77"/>
    <x v="0"/>
    <x v="9"/>
    <n v="1099191"/>
  </r>
  <r>
    <x v="20"/>
    <x v="77"/>
    <x v="1"/>
    <x v="0"/>
    <n v="403488"/>
  </r>
  <r>
    <x v="20"/>
    <x v="77"/>
    <x v="1"/>
    <x v="1"/>
    <n v="2631066"/>
  </r>
  <r>
    <x v="20"/>
    <x v="77"/>
    <x v="1"/>
    <x v="2"/>
    <n v="106006"/>
  </r>
  <r>
    <x v="20"/>
    <x v="77"/>
    <x v="1"/>
    <x v="3"/>
    <n v="-849213"/>
  </r>
  <r>
    <x v="20"/>
    <x v="77"/>
    <x v="1"/>
    <x v="4"/>
    <n v="2186583"/>
  </r>
  <r>
    <x v="20"/>
    <x v="77"/>
    <x v="1"/>
    <x v="5"/>
    <n v="4632771"/>
  </r>
  <r>
    <x v="20"/>
    <x v="77"/>
    <x v="1"/>
    <x v="6"/>
    <n v="-20335"/>
  </r>
  <r>
    <x v="20"/>
    <x v="77"/>
    <x v="1"/>
    <x v="7"/>
    <n v="-75871"/>
  </r>
  <r>
    <x v="20"/>
    <x v="77"/>
    <x v="1"/>
    <x v="8"/>
    <n v="3971854"/>
  </r>
  <r>
    <x v="20"/>
    <x v="77"/>
    <x v="1"/>
    <x v="9"/>
    <n v="2408571"/>
  </r>
  <r>
    <x v="20"/>
    <x v="53"/>
    <x v="0"/>
    <x v="0"/>
    <n v="41221"/>
  </r>
  <r>
    <x v="20"/>
    <x v="53"/>
    <x v="0"/>
    <x v="1"/>
    <n v="383254"/>
  </r>
  <r>
    <x v="20"/>
    <x v="53"/>
    <x v="0"/>
    <x v="2"/>
    <n v="7503"/>
  </r>
  <r>
    <x v="20"/>
    <x v="53"/>
    <x v="0"/>
    <x v="3"/>
    <n v="-20334"/>
  </r>
  <r>
    <x v="20"/>
    <x v="53"/>
    <x v="0"/>
    <x v="4"/>
    <n v="260681"/>
  </r>
  <r>
    <x v="20"/>
    <x v="53"/>
    <x v="0"/>
    <x v="5"/>
    <n v="622711"/>
  </r>
  <r>
    <x v="20"/>
    <x v="53"/>
    <x v="0"/>
    <x v="6"/>
    <n v="0"/>
  </r>
  <r>
    <x v="20"/>
    <x v="53"/>
    <x v="0"/>
    <x v="7"/>
    <n v="-106942"/>
  </r>
  <r>
    <x v="20"/>
    <x v="53"/>
    <x v="0"/>
    <x v="8"/>
    <n v="551835"/>
  </r>
  <r>
    <x v="20"/>
    <x v="53"/>
    <x v="0"/>
    <x v="9"/>
    <n v="155565"/>
  </r>
  <r>
    <x v="20"/>
    <x v="53"/>
    <x v="1"/>
    <x v="0"/>
    <n v="63072"/>
  </r>
  <r>
    <x v="20"/>
    <x v="53"/>
    <x v="1"/>
    <x v="1"/>
    <n v="397669"/>
  </r>
  <r>
    <x v="20"/>
    <x v="53"/>
    <x v="1"/>
    <x v="2"/>
    <n v="7503"/>
  </r>
  <r>
    <x v="20"/>
    <x v="53"/>
    <x v="1"/>
    <x v="3"/>
    <n v="-69905"/>
  </r>
  <r>
    <x v="20"/>
    <x v="53"/>
    <x v="1"/>
    <x v="4"/>
    <n v="260681"/>
  </r>
  <r>
    <x v="20"/>
    <x v="53"/>
    <x v="1"/>
    <x v="5"/>
    <n v="888398"/>
  </r>
  <r>
    <x v="20"/>
    <x v="53"/>
    <x v="1"/>
    <x v="6"/>
    <n v="-4025"/>
  </r>
  <r>
    <x v="20"/>
    <x v="53"/>
    <x v="1"/>
    <x v="7"/>
    <n v="1555"/>
  </r>
  <r>
    <x v="20"/>
    <x v="53"/>
    <x v="1"/>
    <x v="8"/>
    <n v="549554"/>
  </r>
  <r>
    <x v="20"/>
    <x v="53"/>
    <x v="1"/>
    <x v="9"/>
    <n v="621892"/>
  </r>
  <r>
    <x v="20"/>
    <x v="54"/>
    <x v="0"/>
    <x v="0"/>
    <n v="31200"/>
  </r>
  <r>
    <x v="20"/>
    <x v="54"/>
    <x v="0"/>
    <x v="1"/>
    <n v="198177"/>
  </r>
  <r>
    <x v="20"/>
    <x v="54"/>
    <x v="0"/>
    <x v="3"/>
    <n v="7154"/>
  </r>
  <r>
    <x v="20"/>
    <x v="54"/>
    <x v="0"/>
    <x v="5"/>
    <n v="28954"/>
  </r>
  <r>
    <x v="20"/>
    <x v="54"/>
    <x v="0"/>
    <x v="7"/>
    <n v="-15583"/>
  </r>
  <r>
    <x v="20"/>
    <x v="54"/>
    <x v="0"/>
    <x v="8"/>
    <n v="220046"/>
  </r>
  <r>
    <x v="20"/>
    <x v="54"/>
    <x v="0"/>
    <x v="9"/>
    <n v="15548"/>
  </r>
  <r>
    <x v="20"/>
    <x v="54"/>
    <x v="1"/>
    <x v="0"/>
    <n v="31545"/>
  </r>
  <r>
    <x v="20"/>
    <x v="54"/>
    <x v="1"/>
    <x v="1"/>
    <n v="199569"/>
  </r>
  <r>
    <x v="20"/>
    <x v="54"/>
    <x v="1"/>
    <x v="3"/>
    <n v="4113"/>
  </r>
  <r>
    <x v="20"/>
    <x v="54"/>
    <x v="1"/>
    <x v="5"/>
    <n v="29241"/>
  </r>
  <r>
    <x v="20"/>
    <x v="54"/>
    <x v="1"/>
    <x v="7"/>
    <n v="-3876"/>
  </r>
  <r>
    <x v="20"/>
    <x v="54"/>
    <x v="1"/>
    <x v="8"/>
    <n v="220046"/>
  </r>
  <r>
    <x v="20"/>
    <x v="54"/>
    <x v="1"/>
    <x v="9"/>
    <n v="32320"/>
  </r>
  <r>
    <x v="20"/>
    <x v="59"/>
    <x v="0"/>
    <x v="0"/>
    <n v="212822.6"/>
  </r>
  <r>
    <x v="20"/>
    <x v="59"/>
    <x v="0"/>
    <x v="1"/>
    <n v="1795648.1"/>
  </r>
  <r>
    <x v="20"/>
    <x v="59"/>
    <x v="0"/>
    <x v="2"/>
    <n v="512392.1"/>
  </r>
  <r>
    <x v="20"/>
    <x v="59"/>
    <x v="0"/>
    <x v="3"/>
    <n v="-140317.5"/>
  </r>
  <r>
    <x v="20"/>
    <x v="59"/>
    <x v="0"/>
    <x v="4"/>
    <n v="782203"/>
  </r>
  <r>
    <x v="20"/>
    <x v="59"/>
    <x v="0"/>
    <x v="5"/>
    <n v="2713628.3"/>
  </r>
  <r>
    <x v="20"/>
    <x v="59"/>
    <x v="0"/>
    <x v="6"/>
    <m/>
  </r>
  <r>
    <x v="20"/>
    <x v="59"/>
    <x v="0"/>
    <x v="7"/>
    <n v="-127927.09999999963"/>
  </r>
  <r>
    <x v="20"/>
    <x v="59"/>
    <x v="0"/>
    <x v="8"/>
    <n v="3838033.5"/>
  </r>
  <r>
    <x v="20"/>
    <x v="59"/>
    <x v="0"/>
    <x v="9"/>
    <n v="626645"/>
  </r>
  <r>
    <x v="20"/>
    <x v="59"/>
    <x v="1"/>
    <x v="0"/>
    <n v="356304.5"/>
  </r>
  <r>
    <x v="20"/>
    <x v="59"/>
    <x v="1"/>
    <x v="1"/>
    <n v="3094492.4"/>
  </r>
  <r>
    <x v="20"/>
    <x v="59"/>
    <x v="1"/>
    <x v="2"/>
    <n v="508522.1"/>
  </r>
  <r>
    <x v="20"/>
    <x v="59"/>
    <x v="1"/>
    <x v="3"/>
    <n v="-177016.80000000002"/>
  </r>
  <r>
    <x v="20"/>
    <x v="59"/>
    <x v="1"/>
    <x v="4"/>
    <n v="782203"/>
  </r>
  <r>
    <x v="20"/>
    <x v="59"/>
    <x v="1"/>
    <x v="5"/>
    <n v="3849655.2"/>
  </r>
  <r>
    <x v="20"/>
    <x v="59"/>
    <x v="1"/>
    <x v="6"/>
    <n v="-833"/>
  </r>
  <r>
    <x v="20"/>
    <x v="59"/>
    <x v="1"/>
    <x v="7"/>
    <n v="26250.100000001286"/>
  </r>
  <r>
    <x v="20"/>
    <x v="59"/>
    <x v="1"/>
    <x v="8"/>
    <n v="3824534.8000000003"/>
  </r>
  <r>
    <x v="20"/>
    <x v="59"/>
    <x v="1"/>
    <x v="9"/>
    <n v="3406336.3"/>
  </r>
  <r>
    <x v="20"/>
    <x v="60"/>
    <x v="0"/>
    <x v="0"/>
    <n v="539048"/>
  </r>
  <r>
    <x v="20"/>
    <x v="60"/>
    <x v="0"/>
    <x v="1"/>
    <n v="5293502"/>
  </r>
  <r>
    <x v="20"/>
    <x v="60"/>
    <x v="0"/>
    <x v="2"/>
    <n v="89150"/>
  </r>
  <r>
    <x v="20"/>
    <x v="60"/>
    <x v="0"/>
    <x v="3"/>
    <n v="-2249538"/>
  </r>
  <r>
    <x v="20"/>
    <x v="60"/>
    <x v="0"/>
    <x v="4"/>
    <n v="3019002"/>
  </r>
  <r>
    <x v="20"/>
    <x v="60"/>
    <x v="0"/>
    <x v="5"/>
    <n v="8777586"/>
  </r>
  <r>
    <x v="20"/>
    <x v="60"/>
    <x v="0"/>
    <x v="6"/>
    <m/>
  </r>
  <r>
    <x v="20"/>
    <x v="60"/>
    <x v="0"/>
    <x v="7"/>
    <n v="-3385740"/>
  </r>
  <r>
    <x v="20"/>
    <x v="60"/>
    <x v="0"/>
    <x v="8"/>
    <n v="8248809"/>
  </r>
  <r>
    <x v="20"/>
    <x v="60"/>
    <x v="0"/>
    <x v="9"/>
    <n v="2295273"/>
  </r>
  <r>
    <x v="20"/>
    <x v="60"/>
    <x v="1"/>
    <x v="0"/>
    <n v="831012"/>
  </r>
  <r>
    <x v="20"/>
    <x v="60"/>
    <x v="1"/>
    <x v="1"/>
    <n v="5702961"/>
  </r>
  <r>
    <x v="20"/>
    <x v="60"/>
    <x v="1"/>
    <x v="2"/>
    <n v="95869"/>
  </r>
  <r>
    <x v="20"/>
    <x v="60"/>
    <x v="1"/>
    <x v="3"/>
    <n v="-2470291"/>
  </r>
  <r>
    <x v="20"/>
    <x v="60"/>
    <x v="1"/>
    <x v="4"/>
    <n v="3019002"/>
  </r>
  <r>
    <x v="20"/>
    <x v="60"/>
    <x v="1"/>
    <x v="5"/>
    <n v="9050181"/>
  </r>
  <r>
    <x v="20"/>
    <x v="60"/>
    <x v="1"/>
    <x v="6"/>
    <n v="42620"/>
  </r>
  <r>
    <x v="20"/>
    <x v="60"/>
    <x v="1"/>
    <x v="7"/>
    <n v="-2821679"/>
  </r>
  <r>
    <x v="20"/>
    <x v="60"/>
    <x v="1"/>
    <x v="8"/>
    <n v="8221903"/>
  </r>
  <r>
    <x v="20"/>
    <x v="60"/>
    <x v="1"/>
    <x v="9"/>
    <n v="4045110"/>
  </r>
  <r>
    <x v="20"/>
    <x v="61"/>
    <x v="0"/>
    <x v="0"/>
    <n v="160959"/>
  </r>
  <r>
    <x v="20"/>
    <x v="61"/>
    <x v="0"/>
    <x v="1"/>
    <n v="964570"/>
  </r>
  <r>
    <x v="20"/>
    <x v="61"/>
    <x v="0"/>
    <x v="2"/>
    <n v="42665"/>
  </r>
  <r>
    <x v="20"/>
    <x v="61"/>
    <x v="0"/>
    <x v="3"/>
    <n v="-48064"/>
  </r>
  <r>
    <x v="20"/>
    <x v="61"/>
    <x v="0"/>
    <x v="4"/>
    <n v="877437"/>
  </r>
  <r>
    <x v="20"/>
    <x v="61"/>
    <x v="0"/>
    <x v="5"/>
    <n v="1762340"/>
  </r>
  <r>
    <x v="20"/>
    <x v="61"/>
    <x v="0"/>
    <x v="6"/>
    <n v="0"/>
  </r>
  <r>
    <x v="20"/>
    <x v="61"/>
    <x v="0"/>
    <x v="7"/>
    <n v="217993"/>
  </r>
  <r>
    <x v="20"/>
    <x v="61"/>
    <x v="0"/>
    <x v="8"/>
    <n v="2038442"/>
  </r>
  <r>
    <x v="20"/>
    <x v="61"/>
    <x v="0"/>
    <x v="9"/>
    <n v="280712"/>
  </r>
  <r>
    <x v="20"/>
    <x v="61"/>
    <x v="1"/>
    <x v="0"/>
    <n v="241715"/>
  </r>
  <r>
    <x v="20"/>
    <x v="61"/>
    <x v="1"/>
    <x v="1"/>
    <n v="1034336"/>
  </r>
  <r>
    <x v="20"/>
    <x v="61"/>
    <x v="1"/>
    <x v="2"/>
    <n v="48818"/>
  </r>
  <r>
    <x v="20"/>
    <x v="61"/>
    <x v="1"/>
    <x v="3"/>
    <n v="-121547"/>
  </r>
  <r>
    <x v="20"/>
    <x v="61"/>
    <x v="1"/>
    <x v="4"/>
    <n v="877437"/>
  </r>
  <r>
    <x v="20"/>
    <x v="61"/>
    <x v="1"/>
    <x v="5"/>
    <n v="1810559"/>
  </r>
  <r>
    <x v="20"/>
    <x v="61"/>
    <x v="1"/>
    <x v="6"/>
    <n v="0"/>
  </r>
  <r>
    <x v="20"/>
    <x v="61"/>
    <x v="1"/>
    <x v="7"/>
    <n v="231743"/>
  </r>
  <r>
    <x v="20"/>
    <x v="61"/>
    <x v="1"/>
    <x v="8"/>
    <n v="2031710"/>
  </r>
  <r>
    <x v="20"/>
    <x v="61"/>
    <x v="1"/>
    <x v="9"/>
    <n v="579571"/>
  </r>
  <r>
    <x v="20"/>
    <x v="62"/>
    <x v="0"/>
    <x v="0"/>
    <n v="23850"/>
  </r>
  <r>
    <x v="20"/>
    <x v="62"/>
    <x v="0"/>
    <x v="1"/>
    <n v="383287"/>
  </r>
  <r>
    <x v="20"/>
    <x v="62"/>
    <x v="0"/>
    <x v="2"/>
    <n v="9116"/>
  </r>
  <r>
    <x v="20"/>
    <x v="62"/>
    <x v="0"/>
    <x v="3"/>
    <n v="17062"/>
  </r>
  <r>
    <x v="20"/>
    <x v="62"/>
    <x v="0"/>
    <x v="4"/>
    <n v="299942"/>
  </r>
  <r>
    <x v="20"/>
    <x v="62"/>
    <x v="0"/>
    <x v="5"/>
    <n v="509999"/>
  </r>
  <r>
    <x v="20"/>
    <x v="62"/>
    <x v="0"/>
    <x v="6"/>
    <n v="0"/>
  </r>
  <r>
    <x v="20"/>
    <x v="62"/>
    <x v="0"/>
    <x v="7"/>
    <n v="235399"/>
  </r>
  <r>
    <x v="20"/>
    <x v="62"/>
    <x v="0"/>
    <x v="8"/>
    <n v="688284"/>
  </r>
  <r>
    <x v="20"/>
    <x v="62"/>
    <x v="0"/>
    <x v="9"/>
    <n v="156363"/>
  </r>
  <r>
    <x v="20"/>
    <x v="62"/>
    <x v="1"/>
    <x v="0"/>
    <n v="41667"/>
  </r>
  <r>
    <x v="20"/>
    <x v="62"/>
    <x v="1"/>
    <x v="1"/>
    <n v="397088"/>
  </r>
  <r>
    <x v="20"/>
    <x v="62"/>
    <x v="1"/>
    <x v="2"/>
    <n v="9116"/>
  </r>
  <r>
    <x v="20"/>
    <x v="62"/>
    <x v="1"/>
    <x v="3"/>
    <n v="-56310"/>
  </r>
  <r>
    <x v="20"/>
    <x v="62"/>
    <x v="1"/>
    <x v="4"/>
    <n v="299942"/>
  </r>
  <r>
    <x v="20"/>
    <x v="62"/>
    <x v="1"/>
    <x v="5"/>
    <n v="509999"/>
  </r>
  <r>
    <x v="20"/>
    <x v="62"/>
    <x v="1"/>
    <x v="6"/>
    <n v="125"/>
  </r>
  <r>
    <x v="20"/>
    <x v="62"/>
    <x v="1"/>
    <x v="7"/>
    <n v="188383"/>
  </r>
  <r>
    <x v="20"/>
    <x v="62"/>
    <x v="1"/>
    <x v="8"/>
    <n v="682959"/>
  </r>
  <r>
    <x v="20"/>
    <x v="62"/>
    <x v="1"/>
    <x v="9"/>
    <n v="219537"/>
  </r>
  <r>
    <x v="20"/>
    <x v="63"/>
    <x v="0"/>
    <x v="0"/>
    <n v="28937"/>
  </r>
  <r>
    <x v="20"/>
    <x v="63"/>
    <x v="0"/>
    <x v="1"/>
    <n v="400430"/>
  </r>
  <r>
    <x v="20"/>
    <x v="63"/>
    <x v="0"/>
    <x v="2"/>
    <n v="1302"/>
  </r>
  <r>
    <x v="20"/>
    <x v="63"/>
    <x v="0"/>
    <x v="3"/>
    <n v="-22549"/>
  </r>
  <r>
    <x v="20"/>
    <x v="63"/>
    <x v="0"/>
    <x v="4"/>
    <n v="293650"/>
  </r>
  <r>
    <x v="20"/>
    <x v="63"/>
    <x v="0"/>
    <x v="5"/>
    <n v="510866"/>
  </r>
  <r>
    <x v="20"/>
    <x v="63"/>
    <x v="0"/>
    <x v="6"/>
    <n v="0"/>
  </r>
  <r>
    <x v="20"/>
    <x v="63"/>
    <x v="0"/>
    <x v="7"/>
    <n v="-21288"/>
  </r>
  <r>
    <x v="20"/>
    <x v="63"/>
    <x v="0"/>
    <x v="8"/>
    <n v="482619"/>
  </r>
  <r>
    <x v="20"/>
    <x v="63"/>
    <x v="0"/>
    <x v="9"/>
    <n v="166527"/>
  </r>
  <r>
    <x v="20"/>
    <x v="63"/>
    <x v="1"/>
    <x v="0"/>
    <n v="31697"/>
  </r>
  <r>
    <x v="20"/>
    <x v="63"/>
    <x v="1"/>
    <x v="1"/>
    <n v="416596"/>
  </r>
  <r>
    <x v="20"/>
    <x v="63"/>
    <x v="1"/>
    <x v="2"/>
    <n v="1302"/>
  </r>
  <r>
    <x v="20"/>
    <x v="63"/>
    <x v="1"/>
    <x v="3"/>
    <n v="-31923"/>
  </r>
  <r>
    <x v="20"/>
    <x v="63"/>
    <x v="1"/>
    <x v="4"/>
    <n v="293650"/>
  </r>
  <r>
    <x v="20"/>
    <x v="63"/>
    <x v="1"/>
    <x v="5"/>
    <n v="510866"/>
  </r>
  <r>
    <x v="20"/>
    <x v="63"/>
    <x v="1"/>
    <x v="6"/>
    <n v="0"/>
  </r>
  <r>
    <x v="20"/>
    <x v="63"/>
    <x v="1"/>
    <x v="7"/>
    <n v="-31624"/>
  </r>
  <r>
    <x v="20"/>
    <x v="63"/>
    <x v="1"/>
    <x v="8"/>
    <n v="480828"/>
  </r>
  <r>
    <x v="20"/>
    <x v="63"/>
    <x v="1"/>
    <x v="9"/>
    <n v="186282"/>
  </r>
  <r>
    <x v="20"/>
    <x v="64"/>
    <x v="0"/>
    <x v="0"/>
    <n v="13345"/>
  </r>
  <r>
    <x v="20"/>
    <x v="64"/>
    <x v="0"/>
    <x v="1"/>
    <n v="237333"/>
  </r>
  <r>
    <x v="20"/>
    <x v="64"/>
    <x v="0"/>
    <x v="2"/>
    <n v="571"/>
  </r>
  <r>
    <x v="20"/>
    <x v="64"/>
    <x v="0"/>
    <x v="3"/>
    <n v="-426"/>
  </r>
  <r>
    <x v="20"/>
    <x v="64"/>
    <x v="0"/>
    <x v="4"/>
    <n v="23534"/>
  </r>
  <r>
    <x v="20"/>
    <x v="64"/>
    <x v="0"/>
    <x v="5"/>
    <n v="196821"/>
  </r>
  <r>
    <x v="20"/>
    <x v="64"/>
    <x v="0"/>
    <x v="6"/>
    <n v="0"/>
  </r>
  <r>
    <x v="20"/>
    <x v="64"/>
    <x v="0"/>
    <x v="7"/>
    <n v="4142"/>
  </r>
  <r>
    <x v="20"/>
    <x v="64"/>
    <x v="0"/>
    <x v="8"/>
    <n v="333193"/>
  </r>
  <r>
    <x v="20"/>
    <x v="64"/>
    <x v="0"/>
    <x v="9"/>
    <n v="95911"/>
  </r>
  <r>
    <x v="20"/>
    <x v="64"/>
    <x v="1"/>
    <x v="0"/>
    <n v="23751"/>
  </r>
  <r>
    <x v="20"/>
    <x v="64"/>
    <x v="1"/>
    <x v="1"/>
    <n v="242835"/>
  </r>
  <r>
    <x v="20"/>
    <x v="64"/>
    <x v="1"/>
    <x v="2"/>
    <n v="571"/>
  </r>
  <r>
    <x v="20"/>
    <x v="64"/>
    <x v="1"/>
    <x v="3"/>
    <n v="-5710"/>
  </r>
  <r>
    <x v="20"/>
    <x v="64"/>
    <x v="1"/>
    <x v="4"/>
    <n v="23534"/>
  </r>
  <r>
    <x v="20"/>
    <x v="64"/>
    <x v="1"/>
    <x v="5"/>
    <n v="202081"/>
  </r>
  <r>
    <x v="20"/>
    <x v="64"/>
    <x v="1"/>
    <x v="6"/>
    <n v="0"/>
  </r>
  <r>
    <x v="20"/>
    <x v="64"/>
    <x v="1"/>
    <x v="7"/>
    <n v="5065"/>
  </r>
  <r>
    <x v="20"/>
    <x v="64"/>
    <x v="1"/>
    <x v="8"/>
    <n v="333193"/>
  </r>
  <r>
    <x v="20"/>
    <x v="64"/>
    <x v="1"/>
    <x v="9"/>
    <n v="123286"/>
  </r>
  <r>
    <x v="20"/>
    <x v="65"/>
    <x v="0"/>
    <x v="0"/>
    <n v="98335"/>
  </r>
  <r>
    <x v="20"/>
    <x v="65"/>
    <x v="0"/>
    <x v="1"/>
    <n v="1054664"/>
  </r>
  <r>
    <x v="20"/>
    <x v="65"/>
    <x v="0"/>
    <x v="2"/>
    <n v="27429"/>
  </r>
  <r>
    <x v="20"/>
    <x v="65"/>
    <x v="0"/>
    <x v="3"/>
    <n v="-82299"/>
  </r>
  <r>
    <x v="20"/>
    <x v="65"/>
    <x v="0"/>
    <x v="4"/>
    <n v="750946"/>
  </r>
  <r>
    <x v="20"/>
    <x v="65"/>
    <x v="0"/>
    <x v="5"/>
    <n v="1332563"/>
  </r>
  <r>
    <x v="20"/>
    <x v="65"/>
    <x v="0"/>
    <x v="6"/>
    <m/>
  </r>
  <r>
    <x v="20"/>
    <x v="65"/>
    <x v="0"/>
    <x v="7"/>
    <n v="143723"/>
  </r>
  <r>
    <x v="20"/>
    <x v="65"/>
    <x v="0"/>
    <x v="8"/>
    <n v="1485879"/>
  </r>
  <r>
    <x v="20"/>
    <x v="65"/>
    <x v="0"/>
    <x v="9"/>
    <n v="502188"/>
  </r>
  <r>
    <x v="20"/>
    <x v="65"/>
    <x v="1"/>
    <x v="0"/>
    <n v="126768"/>
  </r>
  <r>
    <x v="20"/>
    <x v="65"/>
    <x v="1"/>
    <x v="1"/>
    <n v="1133136"/>
  </r>
  <r>
    <x v="20"/>
    <x v="65"/>
    <x v="1"/>
    <x v="2"/>
    <n v="27429"/>
  </r>
  <r>
    <x v="20"/>
    <x v="65"/>
    <x v="1"/>
    <x v="3"/>
    <n v="-116379"/>
  </r>
  <r>
    <x v="20"/>
    <x v="65"/>
    <x v="1"/>
    <x v="4"/>
    <n v="750946"/>
  </r>
  <r>
    <x v="20"/>
    <x v="65"/>
    <x v="1"/>
    <x v="5"/>
    <n v="1368597"/>
  </r>
  <r>
    <x v="20"/>
    <x v="65"/>
    <x v="1"/>
    <x v="6"/>
    <n v="-1397"/>
  </r>
  <r>
    <x v="20"/>
    <x v="65"/>
    <x v="1"/>
    <x v="7"/>
    <n v="166128"/>
  </r>
  <r>
    <x v="20"/>
    <x v="65"/>
    <x v="1"/>
    <x v="8"/>
    <n v="1481830"/>
  </r>
  <r>
    <x v="20"/>
    <x v="65"/>
    <x v="1"/>
    <x v="9"/>
    <n v="707058"/>
  </r>
  <r>
    <x v="20"/>
    <x v="66"/>
    <x v="0"/>
    <x v="0"/>
    <n v="80431"/>
  </r>
  <r>
    <x v="20"/>
    <x v="66"/>
    <x v="0"/>
    <x v="1"/>
    <n v="1029592"/>
  </r>
  <r>
    <x v="20"/>
    <x v="66"/>
    <x v="0"/>
    <x v="2"/>
    <n v="9623"/>
  </r>
  <r>
    <x v="20"/>
    <x v="66"/>
    <x v="0"/>
    <x v="3"/>
    <n v="-127947"/>
  </r>
  <r>
    <x v="20"/>
    <x v="66"/>
    <x v="0"/>
    <x v="4"/>
    <n v="613531"/>
  </r>
  <r>
    <x v="20"/>
    <x v="66"/>
    <x v="0"/>
    <x v="5"/>
    <n v="1340948"/>
  </r>
  <r>
    <x v="20"/>
    <x v="66"/>
    <x v="0"/>
    <x v="6"/>
    <n v="0"/>
  </r>
  <r>
    <x v="20"/>
    <x v="66"/>
    <x v="0"/>
    <x v="7"/>
    <n v="218189"/>
  </r>
  <r>
    <x v="20"/>
    <x v="66"/>
    <x v="0"/>
    <x v="8"/>
    <n v="1590979"/>
  </r>
  <r>
    <x v="20"/>
    <x v="66"/>
    <x v="0"/>
    <x v="9"/>
    <n v="602220"/>
  </r>
  <r>
    <x v="20"/>
    <x v="66"/>
    <x v="1"/>
    <x v="0"/>
    <n v="159337"/>
  </r>
  <r>
    <x v="20"/>
    <x v="66"/>
    <x v="1"/>
    <x v="1"/>
    <n v="1112655"/>
  </r>
  <r>
    <x v="20"/>
    <x v="66"/>
    <x v="1"/>
    <x v="2"/>
    <n v="9623"/>
  </r>
  <r>
    <x v="20"/>
    <x v="66"/>
    <x v="1"/>
    <x v="3"/>
    <n v="-224843"/>
  </r>
  <r>
    <x v="20"/>
    <x v="66"/>
    <x v="1"/>
    <x v="4"/>
    <n v="613531"/>
  </r>
  <r>
    <x v="20"/>
    <x v="66"/>
    <x v="1"/>
    <x v="5"/>
    <n v="1390174"/>
  </r>
  <r>
    <x v="20"/>
    <x v="66"/>
    <x v="1"/>
    <x v="6"/>
    <n v="10147"/>
  </r>
  <r>
    <x v="20"/>
    <x v="66"/>
    <x v="1"/>
    <x v="7"/>
    <n v="292959"/>
  </r>
  <r>
    <x v="20"/>
    <x v="66"/>
    <x v="1"/>
    <x v="8"/>
    <n v="1588450"/>
  </r>
  <r>
    <x v="20"/>
    <x v="66"/>
    <x v="1"/>
    <x v="9"/>
    <n v="977463"/>
  </r>
  <r>
    <x v="20"/>
    <x v="67"/>
    <x v="0"/>
    <x v="0"/>
    <n v="32303"/>
  </r>
  <r>
    <x v="20"/>
    <x v="67"/>
    <x v="0"/>
    <x v="1"/>
    <n v="486248"/>
  </r>
  <r>
    <x v="20"/>
    <x v="67"/>
    <x v="0"/>
    <x v="2"/>
    <n v="1751"/>
  </r>
  <r>
    <x v="20"/>
    <x v="67"/>
    <x v="0"/>
    <x v="3"/>
    <n v="-39160"/>
  </r>
  <r>
    <x v="20"/>
    <x v="67"/>
    <x v="0"/>
    <x v="4"/>
    <n v="275228"/>
  </r>
  <r>
    <x v="20"/>
    <x v="67"/>
    <x v="0"/>
    <x v="5"/>
    <n v="749131"/>
  </r>
  <r>
    <x v="20"/>
    <x v="67"/>
    <x v="0"/>
    <x v="6"/>
    <n v="0"/>
  </r>
  <r>
    <x v="20"/>
    <x v="67"/>
    <x v="0"/>
    <x v="7"/>
    <n v="30927"/>
  </r>
  <r>
    <x v="20"/>
    <x v="67"/>
    <x v="0"/>
    <x v="8"/>
    <n v="686851"/>
  </r>
  <r>
    <x v="20"/>
    <x v="67"/>
    <x v="0"/>
    <x v="9"/>
    <n v="377441"/>
  </r>
  <r>
    <x v="20"/>
    <x v="67"/>
    <x v="1"/>
    <x v="0"/>
    <n v="73527"/>
  </r>
  <r>
    <x v="20"/>
    <x v="67"/>
    <x v="1"/>
    <x v="1"/>
    <n v="555870"/>
  </r>
  <r>
    <x v="20"/>
    <x v="67"/>
    <x v="1"/>
    <x v="2"/>
    <n v="1751"/>
  </r>
  <r>
    <x v="20"/>
    <x v="67"/>
    <x v="1"/>
    <x v="3"/>
    <n v="-111999"/>
  </r>
  <r>
    <x v="20"/>
    <x v="67"/>
    <x v="1"/>
    <x v="4"/>
    <n v="275228"/>
  </r>
  <r>
    <x v="20"/>
    <x v="67"/>
    <x v="1"/>
    <x v="5"/>
    <n v="815252"/>
  </r>
  <r>
    <x v="20"/>
    <x v="67"/>
    <x v="1"/>
    <x v="6"/>
    <n v="-401"/>
  </r>
  <r>
    <x v="20"/>
    <x v="67"/>
    <x v="1"/>
    <x v="7"/>
    <n v="12851"/>
  </r>
  <r>
    <x v="20"/>
    <x v="67"/>
    <x v="1"/>
    <x v="8"/>
    <n v="681755"/>
  </r>
  <r>
    <x v="20"/>
    <x v="67"/>
    <x v="1"/>
    <x v="9"/>
    <n v="614668"/>
  </r>
  <r>
    <x v="20"/>
    <x v="68"/>
    <x v="0"/>
    <x v="0"/>
    <n v="133716"/>
  </r>
  <r>
    <x v="20"/>
    <x v="68"/>
    <x v="0"/>
    <x v="1"/>
    <n v="1397279"/>
  </r>
  <r>
    <x v="20"/>
    <x v="68"/>
    <x v="0"/>
    <x v="2"/>
    <n v="92836"/>
  </r>
  <r>
    <x v="20"/>
    <x v="68"/>
    <x v="0"/>
    <x v="3"/>
    <n v="-462661"/>
  </r>
  <r>
    <x v="20"/>
    <x v="68"/>
    <x v="0"/>
    <x v="4"/>
    <n v="760050"/>
  </r>
  <r>
    <x v="20"/>
    <x v="68"/>
    <x v="0"/>
    <x v="5"/>
    <n v="2464507"/>
  </r>
  <r>
    <x v="20"/>
    <x v="68"/>
    <x v="0"/>
    <x v="7"/>
    <n v="-248064"/>
  </r>
  <r>
    <x v="20"/>
    <x v="68"/>
    <x v="0"/>
    <x v="8"/>
    <n v="2376000"/>
  </r>
  <r>
    <x v="20"/>
    <x v="68"/>
    <x v="0"/>
    <x v="9"/>
    <n v="1166885"/>
  </r>
  <r>
    <x v="20"/>
    <x v="68"/>
    <x v="1"/>
    <x v="0"/>
    <n v="163082"/>
  </r>
  <r>
    <x v="20"/>
    <x v="68"/>
    <x v="1"/>
    <x v="1"/>
    <n v="1474013"/>
  </r>
  <r>
    <x v="20"/>
    <x v="68"/>
    <x v="1"/>
    <x v="2"/>
    <n v="92836"/>
  </r>
  <r>
    <x v="20"/>
    <x v="68"/>
    <x v="1"/>
    <x v="3"/>
    <n v="-494240"/>
  </r>
  <r>
    <x v="20"/>
    <x v="68"/>
    <x v="1"/>
    <x v="4"/>
    <n v="760050"/>
  </r>
  <r>
    <x v="20"/>
    <x v="68"/>
    <x v="1"/>
    <x v="5"/>
    <n v="2467198"/>
  </r>
  <r>
    <x v="20"/>
    <x v="68"/>
    <x v="1"/>
    <x v="7"/>
    <n v="-278104"/>
  </r>
  <r>
    <x v="20"/>
    <x v="68"/>
    <x v="1"/>
    <x v="8"/>
    <n v="2371344"/>
  </r>
  <r>
    <x v="20"/>
    <x v="68"/>
    <x v="1"/>
    <x v="9"/>
    <n v="1281871"/>
  </r>
  <r>
    <x v="20"/>
    <x v="69"/>
    <x v="0"/>
    <x v="0"/>
    <n v="106402"/>
  </r>
  <r>
    <x v="20"/>
    <x v="69"/>
    <x v="0"/>
    <x v="1"/>
    <n v="1614817"/>
  </r>
  <r>
    <x v="20"/>
    <x v="69"/>
    <x v="0"/>
    <x v="2"/>
    <n v="102150"/>
  </r>
  <r>
    <x v="20"/>
    <x v="69"/>
    <x v="0"/>
    <x v="3"/>
    <n v="-125162"/>
  </r>
  <r>
    <x v="20"/>
    <x v="69"/>
    <x v="0"/>
    <x v="4"/>
    <n v="903899"/>
  </r>
  <r>
    <x v="20"/>
    <x v="69"/>
    <x v="0"/>
    <x v="5"/>
    <n v="1385939"/>
  </r>
  <r>
    <x v="20"/>
    <x v="69"/>
    <x v="0"/>
    <x v="6"/>
    <n v="0"/>
  </r>
  <r>
    <x v="20"/>
    <x v="69"/>
    <x v="0"/>
    <x v="7"/>
    <n v="146176"/>
  </r>
  <r>
    <x v="20"/>
    <x v="69"/>
    <x v="0"/>
    <x v="8"/>
    <n v="2142420"/>
  </r>
  <r>
    <x v="20"/>
    <x v="69"/>
    <x v="0"/>
    <x v="9"/>
    <n v="434327"/>
  </r>
  <r>
    <x v="20"/>
    <x v="69"/>
    <x v="1"/>
    <x v="0"/>
    <n v="200201"/>
  </r>
  <r>
    <x v="20"/>
    <x v="69"/>
    <x v="1"/>
    <x v="1"/>
    <n v="1736442"/>
  </r>
  <r>
    <x v="20"/>
    <x v="69"/>
    <x v="1"/>
    <x v="2"/>
    <n v="109152"/>
  </r>
  <r>
    <x v="20"/>
    <x v="69"/>
    <x v="1"/>
    <x v="3"/>
    <n v="-186855"/>
  </r>
  <r>
    <x v="20"/>
    <x v="69"/>
    <x v="1"/>
    <x v="4"/>
    <n v="903899"/>
  </r>
  <r>
    <x v="20"/>
    <x v="69"/>
    <x v="1"/>
    <x v="5"/>
    <n v="1494132"/>
  </r>
  <r>
    <x v="20"/>
    <x v="69"/>
    <x v="1"/>
    <x v="6"/>
    <n v="0"/>
  </r>
  <r>
    <x v="20"/>
    <x v="69"/>
    <x v="1"/>
    <x v="7"/>
    <n v="359374"/>
  </r>
  <r>
    <x v="20"/>
    <x v="69"/>
    <x v="1"/>
    <x v="8"/>
    <n v="2133593"/>
  </r>
  <r>
    <x v="20"/>
    <x v="69"/>
    <x v="1"/>
    <x v="9"/>
    <n v="1048664"/>
  </r>
  <r>
    <x v="20"/>
    <x v="70"/>
    <x v="0"/>
    <x v="0"/>
    <n v="56151"/>
  </r>
  <r>
    <x v="20"/>
    <x v="70"/>
    <x v="0"/>
    <x v="1"/>
    <n v="578894"/>
  </r>
  <r>
    <x v="20"/>
    <x v="70"/>
    <x v="0"/>
    <x v="2"/>
    <n v="2976"/>
  </r>
  <r>
    <x v="20"/>
    <x v="70"/>
    <x v="0"/>
    <x v="3"/>
    <n v="-49362"/>
  </r>
  <r>
    <x v="20"/>
    <x v="70"/>
    <x v="0"/>
    <x v="4"/>
    <n v="42760"/>
  </r>
  <r>
    <x v="20"/>
    <x v="70"/>
    <x v="0"/>
    <x v="5"/>
    <n v="581300"/>
  </r>
  <r>
    <x v="20"/>
    <x v="70"/>
    <x v="0"/>
    <x v="7"/>
    <n v="52072"/>
  </r>
  <r>
    <x v="20"/>
    <x v="70"/>
    <x v="0"/>
    <x v="8"/>
    <n v="931704"/>
  </r>
  <r>
    <x v="20"/>
    <x v="70"/>
    <x v="0"/>
    <x v="9"/>
    <n v="346291"/>
  </r>
  <r>
    <x v="20"/>
    <x v="70"/>
    <x v="1"/>
    <x v="0"/>
    <n v="87152"/>
  </r>
  <r>
    <x v="20"/>
    <x v="70"/>
    <x v="1"/>
    <x v="1"/>
    <n v="643824"/>
  </r>
  <r>
    <x v="20"/>
    <x v="70"/>
    <x v="1"/>
    <x v="2"/>
    <n v="3048"/>
  </r>
  <r>
    <x v="20"/>
    <x v="70"/>
    <x v="1"/>
    <x v="3"/>
    <n v="-91501"/>
  </r>
  <r>
    <x v="20"/>
    <x v="70"/>
    <x v="1"/>
    <x v="4"/>
    <n v="42760"/>
  </r>
  <r>
    <x v="20"/>
    <x v="70"/>
    <x v="1"/>
    <x v="5"/>
    <n v="615380"/>
  </r>
  <r>
    <x v="20"/>
    <x v="70"/>
    <x v="1"/>
    <x v="7"/>
    <n v="76896"/>
  </r>
  <r>
    <x v="20"/>
    <x v="70"/>
    <x v="1"/>
    <x v="8"/>
    <n v="930595"/>
  </r>
  <r>
    <x v="20"/>
    <x v="70"/>
    <x v="1"/>
    <x v="9"/>
    <n v="544446"/>
  </r>
  <r>
    <x v="20"/>
    <x v="71"/>
    <x v="0"/>
    <x v="0"/>
    <n v="25281"/>
  </r>
  <r>
    <x v="20"/>
    <x v="71"/>
    <x v="0"/>
    <x v="1"/>
    <n v="502103"/>
  </r>
  <r>
    <x v="20"/>
    <x v="71"/>
    <x v="0"/>
    <x v="2"/>
    <n v="1236"/>
  </r>
  <r>
    <x v="20"/>
    <x v="71"/>
    <x v="0"/>
    <x v="3"/>
    <n v="-11070"/>
  </r>
  <r>
    <x v="20"/>
    <x v="71"/>
    <x v="0"/>
    <x v="4"/>
    <n v="168719"/>
  </r>
  <r>
    <x v="20"/>
    <x v="71"/>
    <x v="0"/>
    <x v="5"/>
    <n v="387718"/>
  </r>
  <r>
    <x v="20"/>
    <x v="71"/>
    <x v="0"/>
    <x v="6"/>
    <m/>
  </r>
  <r>
    <x v="20"/>
    <x v="71"/>
    <x v="0"/>
    <x v="7"/>
    <n v="109158"/>
  </r>
  <r>
    <x v="20"/>
    <x v="71"/>
    <x v="0"/>
    <x v="8"/>
    <n v="700582"/>
  </r>
  <r>
    <x v="20"/>
    <x v="71"/>
    <x v="0"/>
    <x v="9"/>
    <n v="167265"/>
  </r>
  <r>
    <x v="20"/>
    <x v="71"/>
    <x v="1"/>
    <x v="0"/>
    <n v="36366"/>
  </r>
  <r>
    <x v="20"/>
    <x v="71"/>
    <x v="1"/>
    <x v="1"/>
    <n v="514967"/>
  </r>
  <r>
    <x v="20"/>
    <x v="71"/>
    <x v="1"/>
    <x v="2"/>
    <n v="1236"/>
  </r>
  <r>
    <x v="20"/>
    <x v="71"/>
    <x v="1"/>
    <x v="3"/>
    <n v="-35119"/>
  </r>
  <r>
    <x v="20"/>
    <x v="71"/>
    <x v="1"/>
    <x v="4"/>
    <n v="168719"/>
  </r>
  <r>
    <x v="20"/>
    <x v="71"/>
    <x v="1"/>
    <x v="5"/>
    <n v="387718"/>
  </r>
  <r>
    <x v="20"/>
    <x v="71"/>
    <x v="1"/>
    <x v="6"/>
    <n v="-789"/>
  </r>
  <r>
    <x v="20"/>
    <x v="71"/>
    <x v="1"/>
    <x v="7"/>
    <n v="115331"/>
  </r>
  <r>
    <x v="20"/>
    <x v="71"/>
    <x v="1"/>
    <x v="8"/>
    <n v="699952"/>
  </r>
  <r>
    <x v="20"/>
    <x v="71"/>
    <x v="1"/>
    <x v="9"/>
    <n v="222855"/>
  </r>
  <r>
    <x v="20"/>
    <x v="72"/>
    <x v="0"/>
    <x v="0"/>
    <n v="55000"/>
  </r>
  <r>
    <x v="20"/>
    <x v="72"/>
    <x v="0"/>
    <x v="1"/>
    <n v="837068"/>
  </r>
  <r>
    <x v="20"/>
    <x v="72"/>
    <x v="0"/>
    <x v="2"/>
    <n v="2646"/>
  </r>
  <r>
    <x v="20"/>
    <x v="72"/>
    <x v="0"/>
    <x v="3"/>
    <n v="-102143"/>
  </r>
  <r>
    <x v="20"/>
    <x v="72"/>
    <x v="0"/>
    <x v="4"/>
    <n v="448496"/>
  </r>
  <r>
    <x v="20"/>
    <x v="72"/>
    <x v="0"/>
    <x v="5"/>
    <n v="947139"/>
  </r>
  <r>
    <x v="20"/>
    <x v="72"/>
    <x v="0"/>
    <x v="6"/>
    <m/>
  </r>
  <r>
    <x v="20"/>
    <x v="72"/>
    <x v="0"/>
    <x v="7"/>
    <n v="3615"/>
  </r>
  <r>
    <x v="20"/>
    <x v="72"/>
    <x v="0"/>
    <x v="8"/>
    <n v="1192000"/>
  </r>
  <r>
    <x v="20"/>
    <x v="72"/>
    <x v="0"/>
    <x v="9"/>
    <n v="307115"/>
  </r>
  <r>
    <x v="20"/>
    <x v="72"/>
    <x v="1"/>
    <x v="0"/>
    <n v="101714"/>
  </r>
  <r>
    <x v="20"/>
    <x v="72"/>
    <x v="1"/>
    <x v="1"/>
    <n v="909479"/>
  </r>
  <r>
    <x v="20"/>
    <x v="72"/>
    <x v="1"/>
    <x v="2"/>
    <n v="2646"/>
  </r>
  <r>
    <x v="20"/>
    <x v="72"/>
    <x v="1"/>
    <x v="3"/>
    <n v="-162154"/>
  </r>
  <r>
    <x v="20"/>
    <x v="72"/>
    <x v="1"/>
    <x v="4"/>
    <n v="448496"/>
  </r>
  <r>
    <x v="20"/>
    <x v="72"/>
    <x v="1"/>
    <x v="5"/>
    <n v="972424"/>
  </r>
  <r>
    <x v="20"/>
    <x v="72"/>
    <x v="1"/>
    <x v="6"/>
    <n v="-17297"/>
  </r>
  <r>
    <x v="20"/>
    <x v="72"/>
    <x v="1"/>
    <x v="7"/>
    <n v="20416"/>
  </r>
  <r>
    <x v="20"/>
    <x v="72"/>
    <x v="1"/>
    <x v="8"/>
    <n v="1187431"/>
  </r>
  <r>
    <x v="20"/>
    <x v="72"/>
    <x v="1"/>
    <x v="9"/>
    <n v="550203"/>
  </r>
  <r>
    <x v="20"/>
    <x v="73"/>
    <x v="0"/>
    <x v="0"/>
    <n v="18736"/>
  </r>
  <r>
    <x v="20"/>
    <x v="73"/>
    <x v="0"/>
    <x v="1"/>
    <n v="408416"/>
  </r>
  <r>
    <x v="20"/>
    <x v="73"/>
    <x v="0"/>
    <x v="2"/>
    <n v="1407"/>
  </r>
  <r>
    <x v="20"/>
    <x v="73"/>
    <x v="0"/>
    <x v="3"/>
    <n v="-7845"/>
  </r>
  <r>
    <x v="20"/>
    <x v="73"/>
    <x v="0"/>
    <x v="4"/>
    <n v="361695"/>
  </r>
  <r>
    <x v="20"/>
    <x v="73"/>
    <x v="0"/>
    <x v="5"/>
    <n v="565807"/>
  </r>
  <r>
    <x v="20"/>
    <x v="73"/>
    <x v="0"/>
    <x v="6"/>
    <n v="0"/>
  </r>
  <r>
    <x v="20"/>
    <x v="73"/>
    <x v="0"/>
    <x v="7"/>
    <n v="7997"/>
  </r>
  <r>
    <x v="20"/>
    <x v="73"/>
    <x v="0"/>
    <x v="8"/>
    <n v="520215"/>
  </r>
  <r>
    <x v="20"/>
    <x v="73"/>
    <x v="0"/>
    <x v="9"/>
    <n v="128298"/>
  </r>
  <r>
    <x v="20"/>
    <x v="73"/>
    <x v="1"/>
    <x v="0"/>
    <n v="25304"/>
  </r>
  <r>
    <x v="20"/>
    <x v="73"/>
    <x v="1"/>
    <x v="1"/>
    <n v="422476"/>
  </r>
  <r>
    <x v="20"/>
    <x v="73"/>
    <x v="1"/>
    <x v="2"/>
    <n v="1407"/>
  </r>
  <r>
    <x v="20"/>
    <x v="73"/>
    <x v="1"/>
    <x v="3"/>
    <n v="-14928"/>
  </r>
  <r>
    <x v="20"/>
    <x v="73"/>
    <x v="1"/>
    <x v="4"/>
    <n v="361695"/>
  </r>
  <r>
    <x v="20"/>
    <x v="73"/>
    <x v="1"/>
    <x v="5"/>
    <n v="565807"/>
  </r>
  <r>
    <x v="20"/>
    <x v="73"/>
    <x v="1"/>
    <x v="6"/>
    <n v="0"/>
  </r>
  <r>
    <x v="20"/>
    <x v="73"/>
    <x v="1"/>
    <x v="7"/>
    <n v="11886"/>
  </r>
  <r>
    <x v="20"/>
    <x v="73"/>
    <x v="1"/>
    <x v="8"/>
    <n v="520170"/>
  </r>
  <r>
    <x v="20"/>
    <x v="73"/>
    <x v="1"/>
    <x v="9"/>
    <n v="1599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B9139-CF89-4E37-ADCE-FD74F844F03C}" name="PivotTable1" cacheId="8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5:F27" firstHeaderRow="1" firstDataRow="3" firstDataCol="2" rowPageCount="1" colPageCount="1"/>
  <pivotFields count="6">
    <pivotField axis="axisPage" compact="0" outline="0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7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9"/>
        <item h="1" x="75"/>
        <item h="1" x="80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81"/>
        <item h="1" x="49"/>
        <item h="1" x="50"/>
        <item h="1" x="82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multipleItemSelectionAllowed="1" showAll="0" defaultSubtotal="0">
      <items count="2">
        <item h="1"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60"/>
      <x v="1"/>
    </i>
    <i>
      <x v="61"/>
      <x v="1"/>
    </i>
    <i>
      <x v="62"/>
      <x v="1"/>
    </i>
    <i>
      <x v="63"/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0">
      <pivotArea dataOnly="0" labelOnly="1" fieldPosition="0">
        <references count="1">
          <reference field="5" count="0"/>
        </references>
      </pivotArea>
    </format>
    <format dxfId="1">
      <pivotArea type="origin" dataOnly="0" labelOnly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F42EC-C5BE-4507-B90D-2C36439A16DE}" name="Table1" displayName="Table1" ref="L5:P26" totalsRowShown="0" headerRowDxfId="88" dataDxfId="87">
  <autoFilter ref="L5:P26" xr:uid="{272F42EC-C5BE-4507-B90D-2C36439A16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08CB14-EDB0-49AF-B5FD-6FA364CFC938}" name="Ár" dataDxfId="86"/>
    <tableColumn id="2" xr3:uid="{67D2C229-3EBE-4620-A5BC-051D6764E6B0}" name="7300 Fjarðabyggð" dataDxfId="85">
      <calculatedColumnFormula>-(Table6[[#This Row],[7300 Fjarðabyggð]]+Table6[[#This Row],[7613 Breiðdalshreppur]])</calculatedColumnFormula>
    </tableColumn>
    <tableColumn id="3" xr3:uid="{8E29BA1D-9D01-49D8-8ACC-9D8A47143CAF}" name="7400 Múlaþing" dataDxfId="84">
      <calculatedColumnFormula>-(Table6[[#This Row],[7000 Seyðisfjörður]]+Table6[[#This Row],[7509 Borgarfjarðarhreppur]]+Table6[[#This Row],[7617 Djúpavogshreppur]]+Table6[[#This Row],[7620 Fljótsdalshérað]]+Table6[[#This Row],[7400 Múlaþing]])</calculatedColumnFormula>
    </tableColumn>
    <tableColumn id="4" xr3:uid="{918C4533-77A6-4C55-8AC1-5E00D15674B8}" name="7502 Vopnafjarðarhreppur" dataDxfId="83">
      <calculatedColumnFormula>-(Table6[[#This Row],[7502 Vopnafjarðarhreppur]])</calculatedColumnFormula>
    </tableColumn>
    <tableColumn id="5" xr3:uid="{62E0D57F-8E89-459A-88A3-B4E6F51B04C2}" name="7505 Fljótsdalshreppur" dataDxfId="82">
      <calculatedColumnFormula>-(Table6[[#This Row],[7505 Fljótsdalshreppur]])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2AF026-C4FD-4599-8E0B-AA74EF893799}" name="Table5" displayName="Table5" ref="A29:J50" totalsRowShown="0" headerRowDxfId="81" dataDxfId="80">
  <autoFilter ref="A29:J50" xr:uid="{0F2AF026-C4FD-4599-8E0B-AA74EF893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BB656D-259A-4D0C-826C-45D2DB01A85E}" name="Gjöld" dataDxfId="79"/>
    <tableColumn id="2" xr3:uid="{107AA9E7-CC2B-4FAF-B4FC-BE9F00E287E1}" name="7000 Seyðisfjörður" dataDxfId="78"/>
    <tableColumn id="3" xr3:uid="{4710FE7C-6E71-41EA-B3E2-62EF1CA03068}" name="7300 Fjarðabyggð" dataDxfId="77"/>
    <tableColumn id="4" xr3:uid="{F488F141-92FD-41C0-975B-0701B6C83CCE}" name="7400 Múlaþing" dataDxfId="76"/>
    <tableColumn id="5" xr3:uid="{5C4EA921-83DB-418E-824A-01C24052A844}" name="7502 Vopnafjarðarhreppur" dataDxfId="75"/>
    <tableColumn id="6" xr3:uid="{A3CE9D1B-257C-4040-87DE-31E0429F5F10}" name="7505 Fljótsdalshreppur" dataDxfId="74"/>
    <tableColumn id="7" xr3:uid="{EA438611-951B-4CAE-B98F-7D439F05EF33}" name="7509 Borgarfjarðarhreppur" dataDxfId="73"/>
    <tableColumn id="8" xr3:uid="{49547C4F-45CD-40EA-922B-465671977865}" name="7613 Breiðdalshreppur" dataDxfId="72"/>
    <tableColumn id="9" xr3:uid="{D02E261B-8FD9-443D-89D5-969D30C732BA}" name="7617 Djúpavogshreppur" dataDxfId="71"/>
    <tableColumn id="10" xr3:uid="{45598CDF-35B9-4268-B571-297868136761}" name="7620 Fljótsdalshérað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140FE6-2678-4609-A7A9-CBD7C9F48FA6}" name="Table6" displayName="Table6" ref="A5:J26" totalsRowShown="0" headerRowDxfId="69" dataDxfId="68">
  <autoFilter ref="A5:J26" xr:uid="{54140FE6-2678-4609-A7A9-CBD7C9F48F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C102E8-B86C-4034-B99E-797BE4E4C0DE}" name="Tekjur" dataDxfId="67"/>
    <tableColumn id="2" xr3:uid="{3FB05117-31A6-4E61-978B-DAE41654F4B2}" name="7000 Seyðisfjörður" dataDxfId="66"/>
    <tableColumn id="3" xr3:uid="{51049250-AAD1-44FF-A9D0-BE6578928496}" name="7300 Fjarðabyggð" dataDxfId="65"/>
    <tableColumn id="4" xr3:uid="{283BA989-4454-47F7-BA76-0ADC2718F81C}" name="7400 Múlaþing" dataDxfId="64"/>
    <tableColumn id="5" xr3:uid="{9CA9F799-B88F-43FC-8F1F-CE61853E108A}" name="7502 Vopnafjarðarhreppur" dataDxfId="63"/>
    <tableColumn id="6" xr3:uid="{AF08EC7F-B8F3-443C-8D35-1B6BE0CBD92E}" name="7505 Fljótsdalshreppur" dataDxfId="62"/>
    <tableColumn id="7" xr3:uid="{58BD0733-D3D2-4331-9E7E-CD2A37F6A719}" name="7509 Borgarfjarðarhreppur" dataDxfId="61"/>
    <tableColumn id="8" xr3:uid="{3F001F1D-B86B-456D-BEB7-442AC9A67604}" name="7613 Breiðdalshreppur" dataDxfId="60"/>
    <tableColumn id="9" xr3:uid="{AD9F8CD8-EE5F-4EB7-A2FD-D927D1FC87AB}" name="7617 Djúpavogshreppur" dataDxfId="59"/>
    <tableColumn id="10" xr3:uid="{B71843FC-0872-4DDD-8296-40820DE6367C}" name="7620 Fljótsdalshérað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F16F17-407E-4193-8804-0B35BC4080EC}" name="Table7" displayName="Table7" ref="L29:P50" totalsRowShown="0" headerRowDxfId="57" dataDxfId="56">
  <autoFilter ref="L29:P50" xr:uid="{9FF16F17-407E-4193-8804-0B35BC4080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D05C55-B972-494E-9BF8-A229E466DD88}" name="Ár" dataDxfId="55"/>
    <tableColumn id="2" xr3:uid="{28C9B313-DCB5-4301-9432-2CF44BBC7A5A}" name="7300 Fjarðabyggð" dataDxfId="54">
      <calculatedColumnFormula>Table5[[#This Row],[7300 Fjarðabyggð]]+Table5[[#This Row],[7613 Breiðdalshreppur]]</calculatedColumnFormula>
    </tableColumn>
    <tableColumn id="3" xr3:uid="{90AB8675-4EC9-431F-9A50-BD6E1F00CDEB}" name="7400 Múlaþing" dataDxfId="53">
      <calculatedColumnFormula>Table5[[#This Row],[7000 Seyðisfjörður]]+Table5[[#This Row],[7509 Borgarfjarðarhreppur]]+Table5[[#This Row],[7617 Djúpavogshreppur]]+Table5[[#This Row],[7620 Fljótsdalshérað]]+Table5[[#This Row],[7400 Múlaþing]]</calculatedColumnFormula>
    </tableColumn>
    <tableColumn id="4" xr3:uid="{5F38C717-9B97-4111-9A92-D7EB2CCCA433}" name="7502 Vopnafjarðarhreppur" dataDxfId="52">
      <calculatedColumnFormula>Table5[[#This Row],[7502 Vopnafjarðarhreppur]]</calculatedColumnFormula>
    </tableColumn>
    <tableColumn id="5" xr3:uid="{26D9A863-876E-48D2-817A-63F0C2A5A037}" name="7505 Fljótsdalshreppur" dataDxfId="51">
      <calculatedColumnFormula>Table5[[#This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FA42B1-622A-4864-896E-E56A6D2496ED}" name="Table8" displayName="Table8" ref="A53:J74" totalsRowShown="0" headerRowDxfId="50" dataDxfId="49">
  <autoFilter ref="A53:J74" xr:uid="{B2FA42B1-622A-4864-896E-E56A6D2496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CD4CFB-6326-4870-8BAC-8C493A3AF18F}" name="Fjármagnsliðir" dataDxfId="48"/>
    <tableColumn id="2" xr3:uid="{BFCC4E0B-41AF-4D22-846C-DBEC6651F8C8}" name="7000 Seyðisfjörður" dataDxfId="47"/>
    <tableColumn id="3" xr3:uid="{DB59D0EE-A1A4-443B-9A55-4D65CC7B181A}" name="7300 Fjarðabyggð" dataDxfId="46"/>
    <tableColumn id="4" xr3:uid="{63EB3578-C267-4835-9E72-E893A81F7D17}" name="7400 Múlaþing" dataDxfId="45"/>
    <tableColumn id="5" xr3:uid="{C3C8599B-E34F-40EC-BE1D-A90721A86440}" name="7502 Vopnafjarðarhreppur" dataDxfId="44"/>
    <tableColumn id="6" xr3:uid="{A42B30DF-0104-4E49-90C5-B37A66701FCF}" name="7505 Fljótsdalshreppur" dataDxfId="43"/>
    <tableColumn id="7" xr3:uid="{A5FA4E7D-B2F6-41B0-B843-571095E3A8DD}" name="7509 Borgarfjarðarhreppur" dataDxfId="42"/>
    <tableColumn id="8" xr3:uid="{93E5DAE5-E321-4332-878B-4FB25274B14E}" name="7613 Breiðdalshreppur" dataDxfId="41"/>
    <tableColumn id="9" xr3:uid="{81C3E4F6-DB49-4605-918A-7ADEAFD828C1}" name="7617 Djúpavogshreppur" dataDxfId="40"/>
    <tableColumn id="10" xr3:uid="{43168FE9-0B50-44FA-B8FB-C7BF522D10F5}" name="7620 Fljótsdalshérað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DCCD2A-FCA6-46EF-8DE9-012FD6E2131E}" name="Table9" displayName="Table9" ref="A77:J98" totalsRowShown="0" headerRowDxfId="38" dataDxfId="37">
  <autoFilter ref="A77:J98" xr:uid="{EBDCCD2A-FCA6-46EF-8DE9-012FD6E21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A82EA4E-EB6B-41D2-BA8B-9B355E95E653}" name="Óreglulegir liðir" dataDxfId="36"/>
    <tableColumn id="2" xr3:uid="{236B9E08-C374-4513-A0FD-B8CD6FDBB57C}" name="7000 Seyðisfjörður" dataDxfId="35"/>
    <tableColumn id="3" xr3:uid="{B28D0076-BC9A-455B-8B30-AA8F949D2459}" name="7300 Fjarðabyggð" dataDxfId="34"/>
    <tableColumn id="4" xr3:uid="{424C6E40-E3F8-4D43-9F64-3B50420DC276}" name="7400 Múlaþing" dataDxfId="33"/>
    <tableColumn id="5" xr3:uid="{2B3A45ED-F3DD-4C85-881E-5D47D77EAC57}" name="7502 Vopnafjarðarhreppur" dataDxfId="32"/>
    <tableColumn id="6" xr3:uid="{BDCC0776-EB0F-4416-8C90-DF8D7BE6E9BC}" name="7505 Fljótsdalshreppur" dataDxfId="31"/>
    <tableColumn id="7" xr3:uid="{8BD30403-2AD0-4DFE-9F33-AC3D8D1988BF}" name="7509 Borgarfjarðarhreppur" dataDxfId="30"/>
    <tableColumn id="8" xr3:uid="{DEEAB5BB-0E6D-49CB-9B84-13396CE79FB5}" name="7613 Breiðdalshreppur" dataDxfId="29"/>
    <tableColumn id="9" xr3:uid="{7F5163FC-5B22-4B9A-BBAD-1EFAB68933C8}" name="7617 Djúpavogshreppur" dataDxfId="28"/>
    <tableColumn id="10" xr3:uid="{87727872-1FEA-4046-B6AC-3CF12E2AC367}" name="7620 Fljótsdalshérað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61F0CC-A9D6-4FD7-8D80-DFC9B8F18250}" name="Table10" displayName="Table10" ref="L53:P74" totalsRowShown="0" headerRowDxfId="26" dataDxfId="25">
  <autoFilter ref="L53:P74" xr:uid="{1361F0CC-A9D6-4FD7-8D80-DFC9B8F1825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A950A6E-B225-40AC-8BEC-EC71DA41AD03}" name="Ár" dataDxfId="24"/>
    <tableColumn id="2" xr3:uid="{8DEBEEEA-38DE-4E62-8CEE-89E61601A270}" name="7300 Fjarðabyggð" dataDxfId="23">
      <calculatedColumnFormula>-(Table8[[#This Row],[7300 Fjarðabyggð]]+Table8[[#This Row],[7613 Breiðdalshreppur]])</calculatedColumnFormula>
    </tableColumn>
    <tableColumn id="3" xr3:uid="{05C99A30-92D3-4C21-94A4-3993EC78C32D}" name="7400 Múlaþing" dataDxfId="22">
      <calculatedColumnFormula>-(Table8[[#This Row],[7620 Fljótsdalshérað]]+Table8[[#This Row],[7617 Djúpavogshreppur]]+Table8[[#This Row],[7509 Borgarfjarðarhreppur]]+Table8[[#This Row],[7000 Seyðisfjörður]]+Table8[[#This Row],[7400 Múlaþing]])</calculatedColumnFormula>
    </tableColumn>
    <tableColumn id="4" xr3:uid="{4696C163-3A93-40CC-B04B-A646577E1F50}" name="7502 Vopnafjarðarhreppur" dataDxfId="21">
      <calculatedColumnFormula>-(Table8[[#This Row],[7502 Vopnafjarðarhreppur]])</calculatedColumnFormula>
    </tableColumn>
    <tableColumn id="5" xr3:uid="{9DCA5B76-4911-453F-9A7C-A1CDF50721D5}" name="7505 Fljótsdalshreppur" dataDxfId="20">
      <calculatedColumnFormula>-(Table8[[#This Row],[7505 Fljótsdalshreppur]])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569EA6-3238-49C8-90BE-87E6FD2A8733}" name="Table11" displayName="Table11" ref="L77:P98" totalsRowShown="0" headerRowDxfId="19" dataDxfId="18">
  <autoFilter ref="L77:P98" xr:uid="{CD569EA6-3238-49C8-90BE-87E6FD2A87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10869EE-9F70-4248-96B9-541300ABBBE5}" name="Ár" dataDxfId="17"/>
    <tableColumn id="2" xr3:uid="{4FCA472A-CD8B-485C-B0A5-66550A36195A}" name="7300 Fjarðabyggð" dataDxfId="16">
      <calculatedColumnFormula>-(Table9[[#This Row],[7300 Fjarðabyggð]]+Table9[[#This Row],[7613 Breiðdalshreppur]])</calculatedColumnFormula>
    </tableColumn>
    <tableColumn id="3" xr3:uid="{9FF69F94-A76E-4DE0-9F0A-FB7D5248DB5A}" name="7400 Múlaþing" dataDxfId="15">
      <calculatedColumnFormula>-(Table9[[#This Row],[7000 Seyðisfjörður]]+Table9[[#This Row],[7400 Múlaþing]]+Table9[[#This Row],[7509 Borgarfjarðarhreppur]]+Table9[[#This Row],[7617 Djúpavogshreppur]]+Table9[[#This Row],[7620 Fljótsdalshérað]])</calculatedColumnFormula>
    </tableColumn>
    <tableColumn id="4" xr3:uid="{41669075-2684-47CD-A4C6-8A24DED42A52}" name="7502 Vopnafjarðarhreppur" dataDxfId="14">
      <calculatedColumnFormula>-(Table9[[#This Row],[7502 Vopnafjarðarhreppur]])</calculatedColumnFormula>
    </tableColumn>
    <tableColumn id="5" xr3:uid="{0430A3C2-D139-49C5-9412-5711C0EE5508}" name="7505 Fljótsdalshreppur" dataDxfId="13">
      <calculatedColumnFormula>-(Table9[[#This Row],[7505 Fljótsdalshreppur]])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BEED0D-9D27-4C2C-9665-2F7EFEAEC7BF}" name="Table12" displayName="Table12" ref="N193:R214" totalsRowShown="0" headerRowDxfId="12">
  <autoFilter ref="N193:R214" xr:uid="{12BEED0D-9D27-4C2C-9665-2F7EFEAEC7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ED4122-D31D-40A2-836D-4AC111022550}" name="Column1"/>
    <tableColumn id="2" xr3:uid="{ACE5D57D-250B-462D-9C8B-D4E83AEEAEF1}" name="7300 Fjarðabyggð" dataDxfId="11">
      <calculatedColumnFormula>C11</calculatedColumnFormula>
    </tableColumn>
    <tableColumn id="3" xr3:uid="{45432E96-86FD-4F30-B654-21B07F83A3DE}" name="7400 Múlaþing"/>
    <tableColumn id="4" xr3:uid="{AE8A5719-F85B-450C-8414-FF9172BE403C}" name="7502 Vopnafjarðahreppur"/>
    <tableColumn id="5" xr3:uid="{E8882473-3D4D-461C-878D-078A2727B7A1}" name="7505 Fljótsdalshreppu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25E2A1-1A4F-4CA5-884F-C67C517F4A57}" name="Table15" displayName="Table15" ref="B32:F53" totalsRowShown="0" headerRowDxfId="10" dataDxfId="9">
  <autoFilter ref="B32:F53" xr:uid="{0325E2A1-1A4F-4CA5-884F-C67C517F4A57}"/>
  <tableColumns count="5">
    <tableColumn id="1" xr3:uid="{D6C45509-98E1-4345-A504-B8F39A99ED1C}" name="Column1" dataDxfId="8"/>
    <tableColumn id="2" xr3:uid="{9541469B-AC16-4963-8528-29F3839086F6}" name="7300 Fjarðabyggð" dataDxfId="7"/>
    <tableColumn id="3" xr3:uid="{3751F9AE-F27C-4104-A360-77A833E9A10D}" name="7400 Múlaþing" dataDxfId="6"/>
    <tableColumn id="4" xr3:uid="{05503808-7A7F-4D58-B40E-D8AFABE97A69}" name="7502 Vopnafjarðahreppur" dataDxfId="5"/>
    <tableColumn id="5" xr3:uid="{30887BCB-A633-490E-BA62-382573603D40}" name="7505 Fljótsdalshreppu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5BDD-5129-47FF-844C-8B26570E6ECD}">
  <sheetPr>
    <tabColor theme="5" tint="0.59999389629810485"/>
  </sheetPr>
  <dimension ref="A3:DZ27"/>
  <sheetViews>
    <sheetView showGridLines="0" tabSelected="1" workbookViewId="0">
      <selection activeCell="E50" sqref="E50"/>
    </sheetView>
  </sheetViews>
  <sheetFormatPr defaultRowHeight="14.25"/>
  <cols>
    <col min="1" max="1" width="5.140625" style="45" customWidth="1"/>
    <col min="2" max="2" width="25.7109375" style="45" customWidth="1"/>
    <col min="3" max="3" width="18.85546875" style="45" customWidth="1"/>
    <col min="4" max="148" width="12.5703125" style="45" customWidth="1"/>
    <col min="149" max="149" width="24.5703125" style="45" bestFit="1" customWidth="1"/>
    <col min="150" max="151" width="20.5703125" style="45" bestFit="1" customWidth="1"/>
    <col min="152" max="152" width="23.42578125" style="45" bestFit="1" customWidth="1"/>
    <col min="153" max="154" width="27.140625" style="45" bestFit="1" customWidth="1"/>
    <col min="155" max="155" width="30" style="45" bestFit="1" customWidth="1"/>
    <col min="156" max="157" width="18" style="45" bestFit="1" customWidth="1"/>
    <col min="158" max="158" width="20.85546875" style="45" bestFit="1" customWidth="1"/>
    <col min="159" max="160" width="24.5703125" style="45" bestFit="1" customWidth="1"/>
    <col min="161" max="161" width="27.42578125" style="45" bestFit="1" customWidth="1"/>
    <col min="162" max="163" width="21.5703125" style="45" bestFit="1" customWidth="1"/>
    <col min="164" max="164" width="24.42578125" style="45" bestFit="1" customWidth="1"/>
    <col min="165" max="166" width="24.85546875" style="45" bestFit="1" customWidth="1"/>
    <col min="167" max="167" width="27.7109375" style="45" bestFit="1" customWidth="1"/>
    <col min="168" max="169" width="21.7109375" style="45" bestFit="1" customWidth="1"/>
    <col min="170" max="170" width="24.5703125" style="45" bestFit="1" customWidth="1"/>
    <col min="171" max="172" width="23.140625" style="45" bestFit="1" customWidth="1"/>
    <col min="173" max="173" width="25.85546875" style="45" bestFit="1" customWidth="1"/>
    <col min="174" max="175" width="19.7109375" style="45" bestFit="1" customWidth="1"/>
    <col min="176" max="176" width="22.42578125" style="45" bestFit="1" customWidth="1"/>
    <col min="177" max="178" width="30" style="45" bestFit="1" customWidth="1"/>
    <col min="179" max="179" width="32.85546875" style="45" bestFit="1" customWidth="1"/>
    <col min="180" max="181" width="23.28515625" style="45" bestFit="1" customWidth="1"/>
    <col min="182" max="182" width="26" style="45" bestFit="1" customWidth="1"/>
    <col min="183" max="184" width="25" style="45" bestFit="1" customWidth="1"/>
    <col min="185" max="185" width="27.85546875" style="45" bestFit="1" customWidth="1"/>
    <col min="186" max="187" width="20.7109375" style="45" bestFit="1" customWidth="1"/>
    <col min="188" max="188" width="23.42578125" style="45" bestFit="1" customWidth="1"/>
    <col min="189" max="190" width="19.5703125" style="45" bestFit="1" customWidth="1"/>
    <col min="191" max="191" width="22.28515625" style="45" bestFit="1" customWidth="1"/>
    <col min="192" max="193" width="17" style="45" bestFit="1" customWidth="1"/>
    <col min="194" max="194" width="19.85546875" style="45" bestFit="1" customWidth="1"/>
    <col min="195" max="196" width="22.7109375" style="45" bestFit="1" customWidth="1"/>
    <col min="197" max="197" width="25.5703125" style="45" bestFit="1" customWidth="1"/>
    <col min="198" max="199" width="20.85546875" style="45" bestFit="1" customWidth="1"/>
    <col min="200" max="200" width="23.7109375" style="45" bestFit="1" customWidth="1"/>
    <col min="201" max="202" width="24.85546875" style="45" bestFit="1" customWidth="1"/>
    <col min="203" max="203" width="27.7109375" style="45" bestFit="1" customWidth="1"/>
    <col min="204" max="205" width="20.85546875" style="45" bestFit="1" customWidth="1"/>
    <col min="206" max="206" width="23.5703125" style="45" bestFit="1" customWidth="1"/>
    <col min="207" max="208" width="23.7109375" style="45" bestFit="1" customWidth="1"/>
    <col min="209" max="209" width="26.5703125" style="45" bestFit="1" customWidth="1"/>
    <col min="210" max="211" width="33.85546875" style="45" bestFit="1" customWidth="1"/>
    <col min="212" max="212" width="36.7109375" style="45" bestFit="1" customWidth="1"/>
    <col min="213" max="214" width="32.28515625" style="45" bestFit="1" customWidth="1"/>
    <col min="215" max="215" width="35" style="45" bestFit="1" customWidth="1"/>
    <col min="216" max="217" width="20.28515625" style="45" bestFit="1" customWidth="1"/>
    <col min="218" max="218" width="23.140625" style="45" bestFit="1" customWidth="1"/>
    <col min="219" max="220" width="17.5703125" style="45" bestFit="1" customWidth="1"/>
    <col min="221" max="221" width="20.28515625" style="45" bestFit="1" customWidth="1"/>
    <col min="222" max="16384" width="9.140625" style="45"/>
  </cols>
  <sheetData>
    <row r="3" spans="1:130" ht="15">
      <c r="A3" s="52" t="s">
        <v>32</v>
      </c>
      <c r="B3" t="s">
        <v>56</v>
      </c>
    </row>
    <row r="4" spans="1:130">
      <c r="B4" s="46" t="s">
        <v>33</v>
      </c>
    </row>
    <row r="5" spans="1:130" ht="15">
      <c r="A5" s="53" t="s">
        <v>34</v>
      </c>
      <c r="B5" s="21"/>
      <c r="C5" s="52" t="s">
        <v>35</v>
      </c>
      <c r="D5" s="52" t="s">
        <v>36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ht="15">
      <c r="A6" s="21"/>
      <c r="B6" s="21"/>
      <c r="C6" t="s">
        <v>1</v>
      </c>
      <c r="D6" t="s">
        <v>15</v>
      </c>
      <c r="E6" t="s">
        <v>3</v>
      </c>
      <c r="F6" t="s">
        <v>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ht="15">
      <c r="A7" s="52" t="s">
        <v>37</v>
      </c>
      <c r="B7" s="52" t="s">
        <v>38</v>
      </c>
      <c r="C7" t="s">
        <v>39</v>
      </c>
      <c r="D7" t="s">
        <v>39</v>
      </c>
      <c r="E7" t="s">
        <v>39</v>
      </c>
      <c r="F7" t="s">
        <v>39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ht="15">
      <c r="A8" s="2" t="s">
        <v>2</v>
      </c>
      <c r="B8" s="2"/>
      <c r="C8" s="21"/>
      <c r="D8" s="21"/>
      <c r="E8" s="21"/>
      <c r="F8" s="2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ht="15">
      <c r="A9"/>
      <c r="B9" t="s">
        <v>40</v>
      </c>
      <c r="C9" s="21">
        <v>5153282</v>
      </c>
      <c r="D9" s="21">
        <v>3971854</v>
      </c>
      <c r="E9" s="21">
        <v>549554</v>
      </c>
      <c r="F9" s="21">
        <v>220046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ht="15">
      <c r="A10"/>
      <c r="B10" t="s">
        <v>41</v>
      </c>
      <c r="C10" s="21">
        <v>1173865</v>
      </c>
      <c r="D10" s="21">
        <v>2186583</v>
      </c>
      <c r="E10" s="21">
        <v>260681</v>
      </c>
      <c r="F10" s="2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ht="15">
      <c r="A11"/>
      <c r="B11" t="s">
        <v>42</v>
      </c>
      <c r="C11" s="21">
        <v>3116341</v>
      </c>
      <c r="D11" s="21">
        <v>2408571</v>
      </c>
      <c r="E11" s="21">
        <v>621892</v>
      </c>
      <c r="F11" s="21">
        <v>32320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ht="15">
      <c r="A12" s="2" t="s">
        <v>43</v>
      </c>
      <c r="B12" s="2"/>
      <c r="C12" s="54">
        <v>9443488</v>
      </c>
      <c r="D12" s="54">
        <v>8567008</v>
      </c>
      <c r="E12" s="54">
        <v>1432127</v>
      </c>
      <c r="F12" s="54">
        <v>252366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ht="15">
      <c r="A13" s="2" t="s">
        <v>9</v>
      </c>
      <c r="B13" s="2"/>
      <c r="C13" s="21"/>
      <c r="D13" s="21"/>
      <c r="E13" s="21"/>
      <c r="F13" s="2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15">
      <c r="A14"/>
      <c r="B14" t="s">
        <v>44</v>
      </c>
      <c r="C14" s="21">
        <v>5015762</v>
      </c>
      <c r="D14" s="21">
        <v>4632771</v>
      </c>
      <c r="E14" s="21">
        <v>888398</v>
      </c>
      <c r="F14" s="21">
        <v>29241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15">
      <c r="A15"/>
      <c r="B15" t="s">
        <v>45</v>
      </c>
      <c r="C15" s="21">
        <v>387049</v>
      </c>
      <c r="D15" s="21">
        <v>106006</v>
      </c>
      <c r="E15" s="21">
        <v>7503</v>
      </c>
      <c r="F15" s="2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15">
      <c r="A16"/>
      <c r="B16" t="s">
        <v>46</v>
      </c>
      <c r="C16" s="21">
        <v>2795671</v>
      </c>
      <c r="D16" s="21">
        <v>2631066</v>
      </c>
      <c r="E16" s="21">
        <v>397669</v>
      </c>
      <c r="F16" s="21">
        <v>199569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15">
      <c r="A17"/>
      <c r="B17" t="s">
        <v>47</v>
      </c>
      <c r="C17" s="21">
        <v>619251</v>
      </c>
      <c r="D17" s="21">
        <v>403488</v>
      </c>
      <c r="E17" s="21">
        <v>63072</v>
      </c>
      <c r="F17" s="21">
        <v>31545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ht="15">
      <c r="A18" s="2" t="s">
        <v>48</v>
      </c>
      <c r="B18" s="2"/>
      <c r="C18" s="54">
        <v>8817733</v>
      </c>
      <c r="D18" s="54">
        <v>7773331</v>
      </c>
      <c r="E18" s="54">
        <v>1356642</v>
      </c>
      <c r="F18" s="54">
        <v>260355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15">
      <c r="A19" s="2" t="s">
        <v>10</v>
      </c>
      <c r="B19" s="2"/>
      <c r="C19" s="21"/>
      <c r="D19" s="21"/>
      <c r="E19" s="21"/>
      <c r="F19" s="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15">
      <c r="A20"/>
      <c r="B20" t="s">
        <v>10</v>
      </c>
      <c r="C20" s="21">
        <v>-602795</v>
      </c>
      <c r="D20" s="21">
        <v>-849213</v>
      </c>
      <c r="E20" s="21">
        <v>-69905</v>
      </c>
      <c r="F20" s="21">
        <v>4113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5">
      <c r="A21" s="2" t="s">
        <v>49</v>
      </c>
      <c r="B21" s="2"/>
      <c r="C21" s="54">
        <v>-602795</v>
      </c>
      <c r="D21" s="54">
        <v>-849213</v>
      </c>
      <c r="E21" s="54">
        <v>-69905</v>
      </c>
      <c r="F21" s="54">
        <v>4113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5">
      <c r="A22" s="2" t="s">
        <v>11</v>
      </c>
      <c r="B22" s="2"/>
      <c r="C22" s="21"/>
      <c r="D22" s="21"/>
      <c r="E22" s="21"/>
      <c r="F22" s="2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15">
      <c r="A23"/>
      <c r="B23" t="s">
        <v>11</v>
      </c>
      <c r="C23" s="21">
        <v>5513</v>
      </c>
      <c r="D23" s="21">
        <v>-20335</v>
      </c>
      <c r="E23" s="21">
        <v>-4025</v>
      </c>
      <c r="F23" s="2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15">
      <c r="A24" s="2" t="s">
        <v>50</v>
      </c>
      <c r="B24" s="2"/>
      <c r="C24" s="54">
        <v>5513</v>
      </c>
      <c r="D24" s="54">
        <v>-20335</v>
      </c>
      <c r="E24" s="54">
        <v>-4025</v>
      </c>
      <c r="F24" s="5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15">
      <c r="A25" s="2" t="s">
        <v>51</v>
      </c>
      <c r="B25" s="2"/>
      <c r="C25" s="21"/>
      <c r="D25" s="21"/>
      <c r="E25" s="21"/>
      <c r="F25" s="2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15">
      <c r="A26"/>
      <c r="B26" t="s">
        <v>51</v>
      </c>
      <c r="C26" s="21">
        <v>28473</v>
      </c>
      <c r="D26" s="21">
        <v>-75871</v>
      </c>
      <c r="E26" s="21">
        <v>1555</v>
      </c>
      <c r="F26" s="21">
        <v>-3876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15">
      <c r="A27" s="2" t="s">
        <v>52</v>
      </c>
      <c r="B27" s="2"/>
      <c r="C27" s="54">
        <v>28473</v>
      </c>
      <c r="D27" s="54">
        <v>-75871</v>
      </c>
      <c r="E27" s="54">
        <v>1555</v>
      </c>
      <c r="F27" s="54">
        <v>-3876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98"/>
  <sheetViews>
    <sheetView zoomScaleNormal="100" workbookViewId="0">
      <selection activeCell="C94" sqref="C94"/>
    </sheetView>
  </sheetViews>
  <sheetFormatPr defaultColWidth="9.28515625" defaultRowHeight="15"/>
  <cols>
    <col min="1" max="1" width="15.7109375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85546875" customWidth="1"/>
    <col min="12" max="12" width="11" customWidth="1"/>
    <col min="13" max="13" width="18.28515625" customWidth="1"/>
    <col min="14" max="14" width="16.5703125" bestFit="1" customWidth="1"/>
    <col min="15" max="15" width="26.28515625" customWidth="1"/>
    <col min="16" max="16" width="23.140625" customWidth="1"/>
  </cols>
  <sheetData>
    <row r="1" spans="1:27" s="3" customFormat="1" ht="21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>
      <c r="A3" s="2"/>
      <c r="E3" s="2"/>
      <c r="F3" s="2"/>
      <c r="L3" s="2"/>
      <c r="M3" s="2"/>
      <c r="N3" s="2"/>
    </row>
    <row r="4" spans="1:27" ht="15" customHeight="1">
      <c r="L4" s="2" t="s">
        <v>2</v>
      </c>
      <c r="M4" t="s">
        <v>16</v>
      </c>
      <c r="N4" t="s">
        <v>16</v>
      </c>
    </row>
    <row r="5" spans="1:27" ht="15" customHeight="1">
      <c r="A5" t="s">
        <v>2</v>
      </c>
      <c r="B5" t="s">
        <v>0</v>
      </c>
      <c r="C5" t="s">
        <v>1</v>
      </c>
      <c r="D5" t="s">
        <v>15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L5" t="s">
        <v>18</v>
      </c>
      <c r="M5" t="s">
        <v>1</v>
      </c>
      <c r="N5" t="s">
        <v>15</v>
      </c>
      <c r="O5" t="s">
        <v>3</v>
      </c>
      <c r="P5" t="s">
        <v>4</v>
      </c>
    </row>
    <row r="6" spans="1:27">
      <c r="A6" s="2">
        <v>2002</v>
      </c>
      <c r="B6" s="20">
        <v>404161</v>
      </c>
      <c r="C6" s="20">
        <v>1869898</v>
      </c>
      <c r="D6" s="20"/>
      <c r="E6" s="20">
        <v>320146</v>
      </c>
      <c r="F6" s="20">
        <v>38530</v>
      </c>
      <c r="G6" s="20">
        <v>61371</v>
      </c>
      <c r="H6" s="20">
        <v>107225</v>
      </c>
      <c r="I6" s="20">
        <v>209948</v>
      </c>
      <c r="J6" s="20">
        <v>1173513</v>
      </c>
      <c r="L6" s="2">
        <v>2002</v>
      </c>
      <c r="M6" s="20">
        <f>-(Table6[[#This Row],[7300 Fjarðabyggð]]+Table6[[#This Row],[7613 Breiðdalshreppur]])</f>
        <v>-1977123</v>
      </c>
      <c r="N6" s="20">
        <f>-(Table6[[#This Row],[7000 Seyðisfjörður]]+Table6[[#This Row],[7509 Borgarfjarðarhreppur]]+Table6[[#This Row],[7617 Djúpavogshreppur]]+Table6[[#This Row],[7620 Fljótsdalshérað]]+Table6[[#This Row],[7400 Múlaþing]])</f>
        <v>-1848993</v>
      </c>
      <c r="O6" s="20">
        <f>-(Table6[[#This Row],[7502 Vopnafjarðarhreppur]])</f>
        <v>-320146</v>
      </c>
      <c r="P6" s="20">
        <f>-(Table6[[#This Row],[7505 Fljótsdalshreppur]])</f>
        <v>-38530</v>
      </c>
    </row>
    <row r="7" spans="1:27">
      <c r="A7" s="2">
        <v>2003</v>
      </c>
      <c r="B7" s="20">
        <v>445370</v>
      </c>
      <c r="C7" s="20">
        <v>1944013</v>
      </c>
      <c r="D7" s="20"/>
      <c r="E7" s="20">
        <v>342721</v>
      </c>
      <c r="F7" s="20">
        <v>48371</v>
      </c>
      <c r="G7" s="20">
        <v>55795</v>
      </c>
      <c r="H7" s="20">
        <v>101697</v>
      </c>
      <c r="I7" s="20">
        <v>223305</v>
      </c>
      <c r="J7" s="20">
        <v>1226552</v>
      </c>
      <c r="L7" s="2">
        <v>2003</v>
      </c>
      <c r="M7" s="20">
        <f>-(Table6[[#This Row],[7300 Fjarðabyggð]]+Table6[[#This Row],[7613 Breiðdalshreppur]])</f>
        <v>-2045710</v>
      </c>
      <c r="N7" s="20">
        <f>-(Table6[[#This Row],[7000 Seyðisfjörður]]+Table6[[#This Row],[7509 Borgarfjarðarhreppur]]+Table6[[#This Row],[7617 Djúpavogshreppur]]+Table6[[#This Row],[7620 Fljótsdalshérað]]+Table6[[#This Row],[7400 Múlaþing]])</f>
        <v>-1951022</v>
      </c>
      <c r="O7" s="20">
        <f>-(Table6[[#This Row],[7502 Vopnafjarðarhreppur]])</f>
        <v>-342721</v>
      </c>
      <c r="P7" s="20">
        <f>-(Table6[[#This Row],[7505 Fljótsdalshreppur]])</f>
        <v>-48371</v>
      </c>
    </row>
    <row r="8" spans="1:27">
      <c r="A8" s="2">
        <v>2004</v>
      </c>
      <c r="B8" s="20">
        <v>471455</v>
      </c>
      <c r="C8" s="20">
        <v>2163855</v>
      </c>
      <c r="D8" s="20"/>
      <c r="E8" s="20">
        <v>424625</v>
      </c>
      <c r="F8" s="20">
        <v>119721</v>
      </c>
      <c r="G8" s="20">
        <v>61093</v>
      </c>
      <c r="H8" s="20">
        <v>109762</v>
      </c>
      <c r="I8" s="20">
        <v>234144</v>
      </c>
      <c r="J8" s="20">
        <v>1491082</v>
      </c>
      <c r="L8" s="2">
        <v>2004</v>
      </c>
      <c r="M8" s="20">
        <f>-(Table6[[#This Row],[7300 Fjarðabyggð]]+Table6[[#This Row],[7613 Breiðdalshreppur]])</f>
        <v>-2273617</v>
      </c>
      <c r="N8" s="20">
        <f>-(Table6[[#This Row],[7000 Seyðisfjörður]]+Table6[[#This Row],[7509 Borgarfjarðarhreppur]]+Table6[[#This Row],[7617 Djúpavogshreppur]]+Table6[[#This Row],[7620 Fljótsdalshérað]]+Table6[[#This Row],[7400 Múlaþing]])</f>
        <v>-2257774</v>
      </c>
      <c r="O8" s="20">
        <f>-(Table6[[#This Row],[7502 Vopnafjarðarhreppur]])</f>
        <v>-424625</v>
      </c>
      <c r="P8" s="20">
        <f>-(Table6[[#This Row],[7505 Fljótsdalshreppur]])</f>
        <v>-119721</v>
      </c>
    </row>
    <row r="9" spans="1:27">
      <c r="A9" s="2">
        <v>2005</v>
      </c>
      <c r="B9" s="20">
        <v>489091</v>
      </c>
      <c r="C9" s="20">
        <v>2631529</v>
      </c>
      <c r="D9" s="20"/>
      <c r="E9" s="20">
        <v>403628</v>
      </c>
      <c r="F9" s="20">
        <v>191384</v>
      </c>
      <c r="G9" s="20">
        <v>62187</v>
      </c>
      <c r="H9" s="20">
        <v>109244</v>
      </c>
      <c r="I9" s="20">
        <v>247209</v>
      </c>
      <c r="J9" s="20">
        <v>1977250</v>
      </c>
      <c r="L9" s="2">
        <v>2005</v>
      </c>
      <c r="M9" s="20">
        <f>-(Table6[[#This Row],[7300 Fjarðabyggð]]+Table6[[#This Row],[7613 Breiðdalshreppur]])</f>
        <v>-2740773</v>
      </c>
      <c r="N9" s="20">
        <f>-(Table6[[#This Row],[7000 Seyðisfjörður]]+Table6[[#This Row],[7509 Borgarfjarðarhreppur]]+Table6[[#This Row],[7617 Djúpavogshreppur]]+Table6[[#This Row],[7620 Fljótsdalshérað]]+Table6[[#This Row],[7400 Múlaþing]])</f>
        <v>-2775737</v>
      </c>
      <c r="O9" s="20">
        <f>-(Table6[[#This Row],[7502 Vopnafjarðarhreppur]])</f>
        <v>-403628</v>
      </c>
      <c r="P9" s="20">
        <f>-(Table6[[#This Row],[7505 Fljótsdalshreppur]])</f>
        <v>-191384</v>
      </c>
    </row>
    <row r="10" spans="1:27">
      <c r="A10" s="2">
        <v>2006</v>
      </c>
      <c r="B10" s="20">
        <v>501555</v>
      </c>
      <c r="C10" s="20">
        <v>3791775</v>
      </c>
      <c r="D10" s="20"/>
      <c r="E10" s="20">
        <v>435532</v>
      </c>
      <c r="F10" s="20">
        <v>216264</v>
      </c>
      <c r="G10" s="20">
        <v>80067</v>
      </c>
      <c r="H10" s="20">
        <v>130439</v>
      </c>
      <c r="I10" s="20">
        <v>313224</v>
      </c>
      <c r="J10" s="20">
        <v>2299156</v>
      </c>
      <c r="L10" s="2">
        <v>2006</v>
      </c>
      <c r="M10" s="20">
        <f>-(Table6[[#This Row],[7300 Fjarðabyggð]]+Table6[[#This Row],[7613 Breiðdalshreppur]])</f>
        <v>-3922214</v>
      </c>
      <c r="N10" s="20">
        <f>-(Table6[[#This Row],[7000 Seyðisfjörður]]+Table6[[#This Row],[7509 Borgarfjarðarhreppur]]+Table6[[#This Row],[7617 Djúpavogshreppur]]+Table6[[#This Row],[7620 Fljótsdalshérað]]+Table6[[#This Row],[7400 Múlaþing]])</f>
        <v>-3194002</v>
      </c>
      <c r="O10" s="20">
        <f>-(Table6[[#This Row],[7502 Vopnafjarðarhreppur]])</f>
        <v>-435532</v>
      </c>
      <c r="P10" s="20">
        <f>-(Table6[[#This Row],[7505 Fljótsdalshreppur]])</f>
        <v>-216264</v>
      </c>
    </row>
    <row r="11" spans="1:27">
      <c r="A11" s="2">
        <v>2007</v>
      </c>
      <c r="B11" s="20">
        <v>569388</v>
      </c>
      <c r="C11" s="20">
        <v>4042824</v>
      </c>
      <c r="D11" s="20"/>
      <c r="E11" s="20">
        <v>465816</v>
      </c>
      <c r="F11" s="20">
        <v>257666</v>
      </c>
      <c r="G11" s="20">
        <v>90091</v>
      </c>
      <c r="H11" s="20">
        <v>154084</v>
      </c>
      <c r="I11" s="20">
        <v>358697</v>
      </c>
      <c r="J11" s="20">
        <v>2465809</v>
      </c>
      <c r="L11" s="2">
        <v>2007</v>
      </c>
      <c r="M11" s="20">
        <f>-(Table6[[#This Row],[7300 Fjarðabyggð]]+Table6[[#This Row],[7613 Breiðdalshreppur]])</f>
        <v>-4196908</v>
      </c>
      <c r="N11" s="20">
        <f>-(Table6[[#This Row],[7000 Seyðisfjörður]]+Table6[[#This Row],[7509 Borgarfjarðarhreppur]]+Table6[[#This Row],[7617 Djúpavogshreppur]]+Table6[[#This Row],[7620 Fljótsdalshérað]]+Table6[[#This Row],[7400 Múlaþing]])</f>
        <v>-3483985</v>
      </c>
      <c r="O11" s="20">
        <f>-(Table6[[#This Row],[7502 Vopnafjarðarhreppur]])</f>
        <v>-465816</v>
      </c>
      <c r="P11" s="20">
        <f>-(Table6[[#This Row],[7505 Fljótsdalshreppur]])</f>
        <v>-257666</v>
      </c>
    </row>
    <row r="12" spans="1:27">
      <c r="A12" s="2">
        <v>2008</v>
      </c>
      <c r="B12" s="20">
        <v>584683</v>
      </c>
      <c r="C12" s="20">
        <v>4098539</v>
      </c>
      <c r="D12" s="20"/>
      <c r="E12" s="20">
        <v>507521</v>
      </c>
      <c r="F12" s="20">
        <v>206866</v>
      </c>
      <c r="G12" s="20">
        <v>99037</v>
      </c>
      <c r="H12" s="20">
        <v>157269</v>
      </c>
      <c r="I12" s="20">
        <v>308773</v>
      </c>
      <c r="J12" s="20">
        <v>2247057</v>
      </c>
      <c r="L12" s="2">
        <v>2008</v>
      </c>
      <c r="M12" s="20">
        <f>-(Table6[[#This Row],[7300 Fjarðabyggð]]+Table6[[#This Row],[7613 Breiðdalshreppur]])</f>
        <v>-4255808</v>
      </c>
      <c r="N12" s="20">
        <f>-(Table6[[#This Row],[7000 Seyðisfjörður]]+Table6[[#This Row],[7509 Borgarfjarðarhreppur]]+Table6[[#This Row],[7617 Djúpavogshreppur]]+Table6[[#This Row],[7620 Fljótsdalshérað]]+Table6[[#This Row],[7400 Múlaþing]])</f>
        <v>-3239550</v>
      </c>
      <c r="O12" s="20">
        <f>-(Table6[[#This Row],[7502 Vopnafjarðarhreppur]])</f>
        <v>-507521</v>
      </c>
      <c r="P12" s="20">
        <f>-(Table6[[#This Row],[7505 Fljótsdalshreppur]])</f>
        <v>-206866</v>
      </c>
    </row>
    <row r="13" spans="1:27">
      <c r="A13" s="2">
        <v>2009</v>
      </c>
      <c r="B13" s="20">
        <v>608001</v>
      </c>
      <c r="C13" s="20">
        <v>4096539</v>
      </c>
      <c r="D13" s="20"/>
      <c r="E13" s="20">
        <v>537715</v>
      </c>
      <c r="F13" s="20">
        <v>171727</v>
      </c>
      <c r="G13" s="20">
        <v>97974</v>
      </c>
      <c r="H13" s="20">
        <v>168449</v>
      </c>
      <c r="I13" s="20">
        <v>310643</v>
      </c>
      <c r="J13" s="20">
        <v>2435696</v>
      </c>
      <c r="L13" s="2">
        <v>2009</v>
      </c>
      <c r="M13" s="20">
        <f>-(Table6[[#This Row],[7300 Fjarðabyggð]]+Table6[[#This Row],[7613 Breiðdalshreppur]])</f>
        <v>-4264988</v>
      </c>
      <c r="N13" s="20">
        <f>-(Table6[[#This Row],[7000 Seyðisfjörður]]+Table6[[#This Row],[7509 Borgarfjarðarhreppur]]+Table6[[#This Row],[7617 Djúpavogshreppur]]+Table6[[#This Row],[7620 Fljótsdalshérað]]+Table6[[#This Row],[7400 Múlaþing]])</f>
        <v>-3452314</v>
      </c>
      <c r="O13" s="20">
        <f>-(Table6[[#This Row],[7502 Vopnafjarðarhreppur]])</f>
        <v>-537715</v>
      </c>
      <c r="P13" s="20">
        <f>-(Table6[[#This Row],[7505 Fljótsdalshreppur]])</f>
        <v>-171727</v>
      </c>
    </row>
    <row r="14" spans="1:27">
      <c r="A14" s="2">
        <v>2010</v>
      </c>
      <c r="B14" s="20">
        <v>619449</v>
      </c>
      <c r="C14" s="20">
        <v>4353542</v>
      </c>
      <c r="D14" s="20"/>
      <c r="E14" s="20">
        <v>574570</v>
      </c>
      <c r="F14" s="20">
        <v>139237</v>
      </c>
      <c r="G14" s="20">
        <v>97024</v>
      </c>
      <c r="H14" s="20">
        <v>189427</v>
      </c>
      <c r="I14" s="20">
        <v>347354</v>
      </c>
      <c r="J14" s="20">
        <v>2416245</v>
      </c>
      <c r="L14" s="2">
        <v>2010</v>
      </c>
      <c r="M14" s="20">
        <f>-(Table6[[#This Row],[7300 Fjarðabyggð]]+Table6[[#This Row],[7613 Breiðdalshreppur]])</f>
        <v>-4542969</v>
      </c>
      <c r="N14" s="20">
        <f>-(Table6[[#This Row],[7000 Seyðisfjörður]]+Table6[[#This Row],[7509 Borgarfjarðarhreppur]]+Table6[[#This Row],[7617 Djúpavogshreppur]]+Table6[[#This Row],[7620 Fljótsdalshérað]]+Table6[[#This Row],[7400 Múlaþing]])</f>
        <v>-3480072</v>
      </c>
      <c r="O14" s="20">
        <f>-(Table6[[#This Row],[7502 Vopnafjarðarhreppur]])</f>
        <v>-574570</v>
      </c>
      <c r="P14" s="20">
        <f>-(Table6[[#This Row],[7505 Fljótsdalshreppur]])</f>
        <v>-139237</v>
      </c>
    </row>
    <row r="15" spans="1:27">
      <c r="A15" s="2">
        <v>2011</v>
      </c>
      <c r="B15" s="20">
        <v>651043</v>
      </c>
      <c r="C15" s="20">
        <v>4617627</v>
      </c>
      <c r="D15" s="20"/>
      <c r="E15" s="20">
        <v>616733</v>
      </c>
      <c r="F15" s="20">
        <v>157492</v>
      </c>
      <c r="G15" s="20">
        <v>103979.86478424072</v>
      </c>
      <c r="H15" s="20">
        <v>180518</v>
      </c>
      <c r="I15" s="20">
        <v>398959.80010414124</v>
      </c>
      <c r="J15" s="20">
        <v>2907654</v>
      </c>
      <c r="L15" s="2">
        <v>2011</v>
      </c>
      <c r="M15" s="20">
        <f>-(Table6[[#This Row],[7300 Fjarðabyggð]]+Table6[[#This Row],[7613 Breiðdalshreppur]])</f>
        <v>-4798145</v>
      </c>
      <c r="N15" s="20">
        <f>-(Table6[[#This Row],[7000 Seyðisfjörður]]+Table6[[#This Row],[7509 Borgarfjarðarhreppur]]+Table6[[#This Row],[7617 Djúpavogshreppur]]+Table6[[#This Row],[7620 Fljótsdalshérað]]+Table6[[#This Row],[7400 Múlaþing]])</f>
        <v>-4061636.664888382</v>
      </c>
      <c r="O15" s="20">
        <f>-(Table6[[#This Row],[7502 Vopnafjarðarhreppur]])</f>
        <v>-616733</v>
      </c>
      <c r="P15" s="20">
        <f>-(Table6[[#This Row],[7505 Fljótsdalshreppur]])</f>
        <v>-157492</v>
      </c>
    </row>
    <row r="16" spans="1:27">
      <c r="A16" s="2">
        <v>2012</v>
      </c>
      <c r="B16" s="20">
        <v>709978</v>
      </c>
      <c r="C16" s="20">
        <v>4899167</v>
      </c>
      <c r="D16" s="20"/>
      <c r="E16" s="20">
        <v>668928</v>
      </c>
      <c r="F16" s="20">
        <v>150195</v>
      </c>
      <c r="G16" s="20">
        <v>109002</v>
      </c>
      <c r="H16" s="20">
        <v>166504</v>
      </c>
      <c r="I16" s="20">
        <v>408570</v>
      </c>
      <c r="J16" s="20">
        <v>3034220</v>
      </c>
      <c r="L16" s="2">
        <v>2012</v>
      </c>
      <c r="M16" s="20">
        <f>-(Table6[[#This Row],[7300 Fjarðabyggð]]+Table6[[#This Row],[7613 Breiðdalshreppur]])</f>
        <v>-5065671</v>
      </c>
      <c r="N16" s="20">
        <f>-(Table6[[#This Row],[7000 Seyðisfjörður]]+Table6[[#This Row],[7509 Borgarfjarðarhreppur]]+Table6[[#This Row],[7617 Djúpavogshreppur]]+Table6[[#This Row],[7620 Fljótsdalshérað]]+Table6[[#This Row],[7400 Múlaþing]])</f>
        <v>-4261770</v>
      </c>
      <c r="O16" s="20">
        <f>-(Table6[[#This Row],[7502 Vopnafjarðarhreppur]])</f>
        <v>-668928</v>
      </c>
      <c r="P16" s="20">
        <f>-(Table6[[#This Row],[7505 Fljótsdalshreppur]])</f>
        <v>-150195</v>
      </c>
    </row>
    <row r="17" spans="1:16">
      <c r="A17" s="2">
        <v>2013</v>
      </c>
      <c r="B17" s="20">
        <v>744048</v>
      </c>
      <c r="C17" s="20">
        <v>5184326</v>
      </c>
      <c r="D17" s="20"/>
      <c r="E17" s="20">
        <v>830933</v>
      </c>
      <c r="F17" s="20">
        <v>137497</v>
      </c>
      <c r="G17" s="20">
        <v>120705</v>
      </c>
      <c r="H17" s="20">
        <v>182802</v>
      </c>
      <c r="I17" s="20">
        <v>446649</v>
      </c>
      <c r="J17" s="20">
        <v>3259516</v>
      </c>
      <c r="L17" s="2">
        <v>2013</v>
      </c>
      <c r="M17" s="20">
        <f>-(Table6[[#This Row],[7300 Fjarðabyggð]]+Table6[[#This Row],[7613 Breiðdalshreppur]])</f>
        <v>-5367128</v>
      </c>
      <c r="N17" s="20">
        <f>-(Table6[[#This Row],[7000 Seyðisfjörður]]+Table6[[#This Row],[7509 Borgarfjarðarhreppur]]+Table6[[#This Row],[7617 Djúpavogshreppur]]+Table6[[#This Row],[7620 Fljótsdalshérað]]+Table6[[#This Row],[7400 Múlaþing]])</f>
        <v>-4570918</v>
      </c>
      <c r="O17" s="20">
        <f>-(Table6[[#This Row],[7502 Vopnafjarðarhreppur]])</f>
        <v>-830933</v>
      </c>
      <c r="P17" s="20">
        <f>-(Table6[[#This Row],[7505 Fljótsdalshreppur]])</f>
        <v>-137497</v>
      </c>
    </row>
    <row r="18" spans="1:16">
      <c r="A18" s="2">
        <v>2014</v>
      </c>
      <c r="B18" s="20">
        <v>767312</v>
      </c>
      <c r="C18" s="20">
        <v>5457572</v>
      </c>
      <c r="D18" s="20"/>
      <c r="E18" s="20">
        <v>892663</v>
      </c>
      <c r="F18" s="20">
        <v>145361</v>
      </c>
      <c r="G18" s="20">
        <v>136293</v>
      </c>
      <c r="H18" s="20">
        <v>181908</v>
      </c>
      <c r="I18" s="20">
        <v>515096</v>
      </c>
      <c r="J18" s="20">
        <v>3393928</v>
      </c>
      <c r="L18" s="2">
        <v>2014</v>
      </c>
      <c r="M18" s="20">
        <f>-(Table6[[#This Row],[7300 Fjarðabyggð]]+Table6[[#This Row],[7613 Breiðdalshreppur]])</f>
        <v>-5639480</v>
      </c>
      <c r="N18" s="20">
        <f>-(Table6[[#This Row],[7000 Seyðisfjörður]]+Table6[[#This Row],[7509 Borgarfjarðarhreppur]]+Table6[[#This Row],[7617 Djúpavogshreppur]]+Table6[[#This Row],[7620 Fljótsdalshérað]]+Table6[[#This Row],[7400 Múlaþing]])</f>
        <v>-4812629</v>
      </c>
      <c r="O18" s="20">
        <f>-(Table6[[#This Row],[7502 Vopnafjarðarhreppur]])</f>
        <v>-892663</v>
      </c>
      <c r="P18" s="20">
        <f>-(Table6[[#This Row],[7505 Fljótsdalshreppur]])</f>
        <v>-145361</v>
      </c>
    </row>
    <row r="19" spans="1:16">
      <c r="A19" s="2">
        <v>2015</v>
      </c>
      <c r="B19" s="20">
        <v>824960</v>
      </c>
      <c r="C19" s="20">
        <v>5827743</v>
      </c>
      <c r="D19" s="20"/>
      <c r="E19" s="20">
        <v>934754</v>
      </c>
      <c r="F19" s="20">
        <v>165349</v>
      </c>
      <c r="G19" s="20">
        <v>144640</v>
      </c>
      <c r="H19" s="20">
        <v>219483</v>
      </c>
      <c r="I19" s="20">
        <v>546676</v>
      </c>
      <c r="J19" s="20">
        <v>3729174</v>
      </c>
      <c r="L19" s="2">
        <v>2015</v>
      </c>
      <c r="M19" s="20">
        <f>-(Table6[[#This Row],[7300 Fjarðabyggð]]+Table6[[#This Row],[7613 Breiðdalshreppur]])</f>
        <v>-6047226</v>
      </c>
      <c r="N19" s="20">
        <f>-(Table6[[#This Row],[7000 Seyðisfjörður]]+Table6[[#This Row],[7509 Borgarfjarðarhreppur]]+Table6[[#This Row],[7617 Djúpavogshreppur]]+Table6[[#This Row],[7620 Fljótsdalshérað]]+Table6[[#This Row],[7400 Múlaþing]])</f>
        <v>-5245450</v>
      </c>
      <c r="O19" s="20">
        <f>-(Table6[[#This Row],[7502 Vopnafjarðarhreppur]])</f>
        <v>-934754</v>
      </c>
      <c r="P19" s="20">
        <f>-(Table6[[#This Row],[7505 Fljótsdalshreppur]])</f>
        <v>-165349</v>
      </c>
    </row>
    <row r="20" spans="1:16">
      <c r="A20" s="2">
        <v>2016</v>
      </c>
      <c r="B20" s="20">
        <v>851666</v>
      </c>
      <c r="C20" s="20">
        <v>6209486</v>
      </c>
      <c r="D20" s="20"/>
      <c r="E20" s="20">
        <v>1023951</v>
      </c>
      <c r="F20" s="20">
        <v>154990</v>
      </c>
      <c r="G20" s="20">
        <v>149456</v>
      </c>
      <c r="H20" s="20">
        <v>218025</v>
      </c>
      <c r="I20" s="20">
        <v>587757</v>
      </c>
      <c r="J20" s="20">
        <v>3978476</v>
      </c>
      <c r="L20" s="2">
        <v>2016</v>
      </c>
      <c r="M20" s="20">
        <f>-(Table6[[#This Row],[7300 Fjarðabyggð]]+Table6[[#This Row],[7613 Breiðdalshreppur]])</f>
        <v>-6427511</v>
      </c>
      <c r="N20" s="20">
        <f>-(Table6[[#This Row],[7000 Seyðisfjörður]]+Table6[[#This Row],[7509 Borgarfjarðarhreppur]]+Table6[[#This Row],[7617 Djúpavogshreppur]]+Table6[[#This Row],[7620 Fljótsdalshérað]]+Table6[[#This Row],[7400 Múlaþing]])</f>
        <v>-5567355</v>
      </c>
      <c r="O20" s="20">
        <f>-(Table6[[#This Row],[7502 Vopnafjarðarhreppur]])</f>
        <v>-1023951</v>
      </c>
      <c r="P20" s="20">
        <f>-(Table6[[#This Row],[7505 Fljótsdalshreppur]])</f>
        <v>-154990</v>
      </c>
    </row>
    <row r="21" spans="1:16">
      <c r="A21" s="2">
        <v>2017</v>
      </c>
      <c r="B21" s="20">
        <v>968464</v>
      </c>
      <c r="C21" s="20">
        <v>7055833</v>
      </c>
      <c r="D21" s="20"/>
      <c r="E21" s="20">
        <v>1064941</v>
      </c>
      <c r="F21" s="20">
        <v>169502</v>
      </c>
      <c r="G21" s="20">
        <v>130812</v>
      </c>
      <c r="H21" s="20">
        <v>244000</v>
      </c>
      <c r="I21" s="20">
        <v>650774</v>
      </c>
      <c r="J21" s="20">
        <v>4277418</v>
      </c>
      <c r="L21" s="2">
        <v>2017</v>
      </c>
      <c r="M21" s="20">
        <f>-(Table6[[#This Row],[7300 Fjarðabyggð]]+Table6[[#This Row],[7613 Breiðdalshreppur]])</f>
        <v>-7299833</v>
      </c>
      <c r="N21" s="20">
        <f>-(Table6[[#This Row],[7000 Seyðisfjörður]]+Table6[[#This Row],[7509 Borgarfjarðarhreppur]]+Table6[[#This Row],[7617 Djúpavogshreppur]]+Table6[[#This Row],[7620 Fljótsdalshérað]]+Table6[[#This Row],[7400 Múlaþing]])</f>
        <v>-6027468</v>
      </c>
      <c r="O21" s="20">
        <f>-(Table6[[#This Row],[7502 Vopnafjarðarhreppur]])</f>
        <v>-1064941</v>
      </c>
      <c r="P21" s="20">
        <f>-(Table6[[#This Row],[7505 Fljótsdalshreppur]])</f>
        <v>-169502</v>
      </c>
    </row>
    <row r="22" spans="1:16">
      <c r="A22" s="2">
        <v>2018</v>
      </c>
      <c r="B22" s="20">
        <v>1086280</v>
      </c>
      <c r="C22" s="20">
        <v>8123507</v>
      </c>
      <c r="D22" s="20"/>
      <c r="E22" s="20">
        <v>1046883</v>
      </c>
      <c r="F22" s="20">
        <v>185650</v>
      </c>
      <c r="G22" s="20">
        <v>168877</v>
      </c>
      <c r="H22" s="20"/>
      <c r="I22" s="20">
        <v>710108</v>
      </c>
      <c r="J22" s="20">
        <v>4491043</v>
      </c>
      <c r="L22" s="2">
        <v>2018</v>
      </c>
      <c r="M22" s="20">
        <f>-(Table6[[#This Row],[7300 Fjarðabyggð]]+Table6[[#This Row],[7613 Breiðdalshreppur]])</f>
        <v>-8123507</v>
      </c>
      <c r="N22" s="20">
        <f>-(Table6[[#This Row],[7000 Seyðisfjörður]]+Table6[[#This Row],[7509 Borgarfjarðarhreppur]]+Table6[[#This Row],[7617 Djúpavogshreppur]]+Table6[[#This Row],[7620 Fljótsdalshérað]]+Table6[[#This Row],[7400 Múlaþing]])</f>
        <v>-6456308</v>
      </c>
      <c r="O22" s="20">
        <f>-(Table6[[#This Row],[7502 Vopnafjarðarhreppur]])</f>
        <v>-1046883</v>
      </c>
      <c r="P22" s="20">
        <f>-(Table6[[#This Row],[7505 Fljótsdalshreppur]])</f>
        <v>-185650</v>
      </c>
    </row>
    <row r="23" spans="1:16">
      <c r="A23" s="2">
        <v>2019</v>
      </c>
      <c r="B23" s="20">
        <v>1132763</v>
      </c>
      <c r="C23" s="20">
        <v>8470780</v>
      </c>
      <c r="D23" s="20"/>
      <c r="E23" s="20">
        <v>1060743</v>
      </c>
      <c r="F23" s="20">
        <v>270399</v>
      </c>
      <c r="G23" s="20">
        <v>161266</v>
      </c>
      <c r="H23" s="20"/>
      <c r="I23" s="20">
        <v>782151</v>
      </c>
      <c r="J23" s="20">
        <v>4801239</v>
      </c>
      <c r="L23" s="2">
        <v>2019</v>
      </c>
      <c r="M23" s="20">
        <f>-(Table6[[#This Row],[7300 Fjarðabyggð]]+Table6[[#This Row],[7613 Breiðdalshreppur]])</f>
        <v>-8470780</v>
      </c>
      <c r="N23" s="20">
        <f>-(Table6[[#This Row],[7000 Seyðisfjörður]]+Table6[[#This Row],[7509 Borgarfjarðarhreppur]]+Table6[[#This Row],[7617 Djúpavogshreppur]]+Table6[[#This Row],[7620 Fljótsdalshérað]]+Table6[[#This Row],[7400 Múlaþing]])</f>
        <v>-6877419</v>
      </c>
      <c r="O23" s="20">
        <f>-(Table6[[#This Row],[7502 Vopnafjarðarhreppur]])</f>
        <v>-1060743</v>
      </c>
      <c r="P23" s="20">
        <f>-(Table6[[#This Row],[7505 Fljótsdalshreppur]])</f>
        <v>-270399</v>
      </c>
    </row>
    <row r="24" spans="1:16">
      <c r="A24" s="2">
        <v>2020</v>
      </c>
      <c r="B24" s="20"/>
      <c r="C24" s="20">
        <v>8706317</v>
      </c>
      <c r="D24" s="20">
        <v>7095060</v>
      </c>
      <c r="E24" s="20">
        <v>1182851</v>
      </c>
      <c r="F24" s="20">
        <v>207389</v>
      </c>
      <c r="G24" s="20"/>
      <c r="H24" s="20"/>
      <c r="I24" s="20"/>
      <c r="J24" s="20"/>
      <c r="L24" s="2">
        <v>2020</v>
      </c>
      <c r="M24" s="20">
        <f>-(Table6[[#This Row],[7300 Fjarðabyggð]]+Table6[[#This Row],[7613 Breiðdalshreppur]])</f>
        <v>-8706317</v>
      </c>
      <c r="N24" s="20">
        <f>-(Table6[[#This Row],[7000 Seyðisfjörður]]+Table6[[#This Row],[7509 Borgarfjarðarhreppur]]+Table6[[#This Row],[7617 Djúpavogshreppur]]+Table6[[#This Row],[7620 Fljótsdalshérað]]+Table6[[#This Row],[7400 Múlaþing]])</f>
        <v>-7095060</v>
      </c>
      <c r="O24" s="20">
        <f>-(Table6[[#This Row],[7502 Vopnafjarðarhreppur]])</f>
        <v>-1182851</v>
      </c>
      <c r="P24" s="20">
        <f>-(Table6[[#This Row],[7505 Fljótsdalshreppur]])</f>
        <v>-207389</v>
      </c>
    </row>
    <row r="25" spans="1:16">
      <c r="A25" s="2">
        <v>2021</v>
      </c>
      <c r="B25" s="20"/>
      <c r="C25" s="20">
        <v>8746489</v>
      </c>
      <c r="D25" s="20">
        <v>7860098</v>
      </c>
      <c r="E25" s="20">
        <v>1328196</v>
      </c>
      <c r="F25" s="20">
        <v>224115</v>
      </c>
      <c r="G25" s="20"/>
      <c r="H25" s="20"/>
      <c r="I25" s="20"/>
      <c r="J25" s="20"/>
      <c r="L25" s="2">
        <v>2021</v>
      </c>
      <c r="M25" s="20">
        <f>-(Table6[[#This Row],[7300 Fjarðabyggð]]+Table6[[#This Row],[7613 Breiðdalshreppur]])</f>
        <v>-8746489</v>
      </c>
      <c r="N25" s="20">
        <f>-(Table6[[#This Row],[7000 Seyðisfjörður]]+Table6[[#This Row],[7509 Borgarfjarðarhreppur]]+Table6[[#This Row],[7617 Djúpavogshreppur]]+Table6[[#This Row],[7620 Fljótsdalshérað]]+Table6[[#This Row],[7400 Múlaþing]])</f>
        <v>-7860098</v>
      </c>
      <c r="O25" s="20">
        <f>-(Table6[[#This Row],[7502 Vopnafjarðarhreppur]])</f>
        <v>-1328196</v>
      </c>
      <c r="P25" s="20">
        <f>-(Table6[[#This Row],[7505 Fljótsdalshreppur]])</f>
        <v>-224115</v>
      </c>
    </row>
    <row r="26" spans="1:16">
      <c r="A26" s="63">
        <v>2022</v>
      </c>
      <c r="B26" s="64"/>
      <c r="C26" s="64">
        <v>9443488</v>
      </c>
      <c r="D26" s="64">
        <v>8567008</v>
      </c>
      <c r="E26" s="64">
        <v>1432127</v>
      </c>
      <c r="F26" s="64">
        <v>252366</v>
      </c>
      <c r="G26" s="64"/>
      <c r="H26" s="64"/>
      <c r="I26" s="64"/>
      <c r="J26" s="64"/>
      <c r="L26" s="63">
        <v>2022</v>
      </c>
      <c r="M26" s="64">
        <f>-(Table6[[#This Row],[7300 Fjarðabyggð]]+Table6[[#This Row],[7613 Breiðdalshreppur]])</f>
        <v>-9443488</v>
      </c>
      <c r="N26" s="64">
        <f>-(Table6[[#This Row],[7000 Seyðisfjörður]]+Table6[[#This Row],[7509 Borgarfjarðarhreppur]]+Table6[[#This Row],[7617 Djúpavogshreppur]]+Table6[[#This Row],[7620 Fljótsdalshérað]]+Table6[[#This Row],[7400 Múlaþing]])</f>
        <v>-8567008</v>
      </c>
      <c r="O26" s="64">
        <f>-(Table6[[#This Row],[7502 Vopnafjarðarhreppur]])</f>
        <v>-1432127</v>
      </c>
      <c r="P26" s="64">
        <f>-(Table6[[#This Row],[7505 Fljótsdalshreppur]])</f>
        <v>-252366</v>
      </c>
    </row>
    <row r="27" spans="1:16">
      <c r="A27" s="2"/>
      <c r="B27" s="20"/>
      <c r="C27" s="20"/>
      <c r="D27" s="20"/>
      <c r="E27" s="20"/>
      <c r="F27" s="20"/>
      <c r="G27" s="20"/>
      <c r="H27" s="20"/>
      <c r="I27" s="20"/>
      <c r="J27" s="20"/>
    </row>
    <row r="28" spans="1:16">
      <c r="L28" s="2" t="s">
        <v>9</v>
      </c>
      <c r="M28" t="s">
        <v>16</v>
      </c>
      <c r="N28" t="s">
        <v>16</v>
      </c>
    </row>
    <row r="29" spans="1:16">
      <c r="A29" t="s">
        <v>9</v>
      </c>
      <c r="B29" t="s">
        <v>0</v>
      </c>
      <c r="C29" t="s">
        <v>1</v>
      </c>
      <c r="D29" t="s">
        <v>15</v>
      </c>
      <c r="E29" t="s">
        <v>3</v>
      </c>
      <c r="F29" t="s">
        <v>4</v>
      </c>
      <c r="G29" t="s">
        <v>5</v>
      </c>
      <c r="H29" t="s">
        <v>6</v>
      </c>
      <c r="I29" t="s">
        <v>7</v>
      </c>
      <c r="J29" t="s">
        <v>8</v>
      </c>
      <c r="L29" t="s">
        <v>18</v>
      </c>
      <c r="M29" t="s">
        <v>1</v>
      </c>
      <c r="N29" t="s">
        <v>15</v>
      </c>
      <c r="O29" t="s">
        <v>3</v>
      </c>
      <c r="P29" t="s">
        <v>4</v>
      </c>
    </row>
    <row r="30" spans="1:16">
      <c r="A30" s="2">
        <v>2002</v>
      </c>
      <c r="B30" s="20">
        <v>403093</v>
      </c>
      <c r="C30" s="20">
        <v>1958159</v>
      </c>
      <c r="D30" s="20"/>
      <c r="E30" s="20">
        <v>315129</v>
      </c>
      <c r="F30" s="20">
        <v>39669</v>
      </c>
      <c r="G30" s="20">
        <v>57074</v>
      </c>
      <c r="H30" s="20">
        <v>120906</v>
      </c>
      <c r="I30" s="20">
        <v>206995</v>
      </c>
      <c r="J30" s="20">
        <v>1159936</v>
      </c>
      <c r="L30" s="2">
        <v>2002</v>
      </c>
      <c r="M30" s="20">
        <f>Table5[[#This Row],[7300 Fjarðabyggð]]+Table5[[#This Row],[7613 Breiðdalshreppur]]</f>
        <v>2079065</v>
      </c>
      <c r="N30" s="20">
        <f>Table5[[#This Row],[7000 Seyðisfjörður]]+Table5[[#This Row],[7509 Borgarfjarðarhreppur]]+Table5[[#This Row],[7617 Djúpavogshreppur]]+Table5[[#This Row],[7620 Fljótsdalshérað]]+Table5[[#This Row],[7400 Múlaþing]]</f>
        <v>1827098</v>
      </c>
      <c r="O30" s="20">
        <f>Table5[[#This Row],[7502 Vopnafjarðarhreppur]]</f>
        <v>315129</v>
      </c>
      <c r="P30" s="20">
        <f>Table5[[#This Row],[7505 Fljótsdalshreppur]]</f>
        <v>39669</v>
      </c>
    </row>
    <row r="31" spans="1:16">
      <c r="A31" s="2">
        <v>2003</v>
      </c>
      <c r="B31" s="20">
        <v>445794</v>
      </c>
      <c r="C31" s="20">
        <v>2091979</v>
      </c>
      <c r="D31" s="20"/>
      <c r="E31" s="20">
        <v>356646</v>
      </c>
      <c r="F31" s="20">
        <v>45298</v>
      </c>
      <c r="G31" s="20">
        <v>58969</v>
      </c>
      <c r="H31" s="20">
        <v>122545</v>
      </c>
      <c r="I31" s="20">
        <v>239398</v>
      </c>
      <c r="J31" s="20">
        <v>1195615</v>
      </c>
      <c r="L31" s="2">
        <v>2003</v>
      </c>
      <c r="M31" s="20">
        <f>Table5[[#This Row],[7300 Fjarðabyggð]]+Table5[[#This Row],[7613 Breiðdalshreppur]]</f>
        <v>2214524</v>
      </c>
      <c r="N31" s="20">
        <f>Table5[[#This Row],[7000 Seyðisfjörður]]+Table5[[#This Row],[7509 Borgarfjarðarhreppur]]+Table5[[#This Row],[7617 Djúpavogshreppur]]+Table5[[#This Row],[7620 Fljótsdalshérað]]+Table5[[#This Row],[7400 Múlaþing]]</f>
        <v>1939776</v>
      </c>
      <c r="O31" s="20">
        <f>Table5[[#This Row],[7502 Vopnafjarðarhreppur]]</f>
        <v>356646</v>
      </c>
      <c r="P31" s="20">
        <f>Table5[[#This Row],[7505 Fljótsdalshreppur]]</f>
        <v>45298</v>
      </c>
    </row>
    <row r="32" spans="1:16">
      <c r="A32" s="2">
        <v>2004</v>
      </c>
      <c r="B32" s="20">
        <v>482589</v>
      </c>
      <c r="C32" s="20">
        <v>2209660</v>
      </c>
      <c r="D32" s="20"/>
      <c r="E32" s="20">
        <v>411346</v>
      </c>
      <c r="F32" s="20">
        <v>53502</v>
      </c>
      <c r="G32" s="20">
        <v>55975</v>
      </c>
      <c r="H32" s="20">
        <v>118663</v>
      </c>
      <c r="I32" s="20">
        <v>245782</v>
      </c>
      <c r="J32" s="20">
        <v>1379010</v>
      </c>
      <c r="L32" s="2">
        <v>2004</v>
      </c>
      <c r="M32" s="20">
        <f>Table5[[#This Row],[7300 Fjarðabyggð]]+Table5[[#This Row],[7613 Breiðdalshreppur]]</f>
        <v>2328323</v>
      </c>
      <c r="N32" s="20">
        <f>Table5[[#This Row],[7000 Seyðisfjörður]]+Table5[[#This Row],[7509 Borgarfjarðarhreppur]]+Table5[[#This Row],[7617 Djúpavogshreppur]]+Table5[[#This Row],[7620 Fljótsdalshérað]]+Table5[[#This Row],[7400 Múlaþing]]</f>
        <v>2163356</v>
      </c>
      <c r="O32" s="20">
        <f>Table5[[#This Row],[7502 Vopnafjarðarhreppur]]</f>
        <v>411346</v>
      </c>
      <c r="P32" s="20">
        <f>Table5[[#This Row],[7505 Fljótsdalshreppur]]</f>
        <v>53502</v>
      </c>
    </row>
    <row r="33" spans="1:16">
      <c r="A33" s="2">
        <v>2005</v>
      </c>
      <c r="B33" s="20">
        <v>508783</v>
      </c>
      <c r="C33" s="20">
        <v>2530055</v>
      </c>
      <c r="D33" s="20"/>
      <c r="E33" s="20">
        <v>422329</v>
      </c>
      <c r="F33" s="20">
        <v>81311</v>
      </c>
      <c r="G33" s="20">
        <v>62476</v>
      </c>
      <c r="H33" s="20">
        <v>123583</v>
      </c>
      <c r="I33" s="20">
        <v>283854</v>
      </c>
      <c r="J33" s="20">
        <v>1584427</v>
      </c>
      <c r="L33" s="2">
        <v>2005</v>
      </c>
      <c r="M33" s="20">
        <f>Table5[[#This Row],[7300 Fjarðabyggð]]+Table5[[#This Row],[7613 Breiðdalshreppur]]</f>
        <v>2653638</v>
      </c>
      <c r="N33" s="20">
        <f>Table5[[#This Row],[7000 Seyðisfjörður]]+Table5[[#This Row],[7509 Borgarfjarðarhreppur]]+Table5[[#This Row],[7617 Djúpavogshreppur]]+Table5[[#This Row],[7620 Fljótsdalshérað]]+Table5[[#This Row],[7400 Múlaþing]]</f>
        <v>2439540</v>
      </c>
      <c r="O33" s="20">
        <f>Table5[[#This Row],[7502 Vopnafjarðarhreppur]]</f>
        <v>422329</v>
      </c>
      <c r="P33" s="20">
        <f>Table5[[#This Row],[7505 Fljótsdalshreppur]]</f>
        <v>81311</v>
      </c>
    </row>
    <row r="34" spans="1:16">
      <c r="A34" s="2">
        <v>2006</v>
      </c>
      <c r="B34" s="20">
        <v>506449</v>
      </c>
      <c r="C34" s="20">
        <v>2855016</v>
      </c>
      <c r="D34" s="20"/>
      <c r="E34" s="20">
        <v>417449</v>
      </c>
      <c r="F34" s="20">
        <v>64617</v>
      </c>
      <c r="G34" s="20">
        <v>61933</v>
      </c>
      <c r="H34" s="20">
        <v>128376</v>
      </c>
      <c r="I34" s="20">
        <v>299506</v>
      </c>
      <c r="J34" s="20">
        <v>1878540</v>
      </c>
      <c r="L34" s="2">
        <v>2006</v>
      </c>
      <c r="M34" s="20">
        <f>Table5[[#This Row],[7300 Fjarðabyggð]]+Table5[[#This Row],[7613 Breiðdalshreppur]]</f>
        <v>2983392</v>
      </c>
      <c r="N34" s="20">
        <f>Table5[[#This Row],[7000 Seyðisfjörður]]+Table5[[#This Row],[7509 Borgarfjarðarhreppur]]+Table5[[#This Row],[7617 Djúpavogshreppur]]+Table5[[#This Row],[7620 Fljótsdalshérað]]+Table5[[#This Row],[7400 Múlaþing]]</f>
        <v>2746428</v>
      </c>
      <c r="O34" s="20">
        <f>Table5[[#This Row],[7502 Vopnafjarðarhreppur]]</f>
        <v>417449</v>
      </c>
      <c r="P34" s="20">
        <f>Table5[[#This Row],[7505 Fljótsdalshreppur]]</f>
        <v>64617</v>
      </c>
    </row>
    <row r="35" spans="1:16">
      <c r="A35" s="2">
        <v>2007</v>
      </c>
      <c r="B35" s="20">
        <v>536960</v>
      </c>
      <c r="C35" s="20">
        <v>3269415</v>
      </c>
      <c r="D35" s="20"/>
      <c r="E35" s="20">
        <v>418821</v>
      </c>
      <c r="F35" s="20">
        <v>78330</v>
      </c>
      <c r="G35" s="20">
        <v>75286</v>
      </c>
      <c r="H35" s="20">
        <v>129069</v>
      </c>
      <c r="I35" s="20">
        <v>260598</v>
      </c>
      <c r="J35" s="20">
        <v>2100517</v>
      </c>
      <c r="L35" s="2">
        <v>2007</v>
      </c>
      <c r="M35" s="20">
        <f>Table5[[#This Row],[7300 Fjarðabyggð]]+Table5[[#This Row],[7613 Breiðdalshreppur]]</f>
        <v>3398484</v>
      </c>
      <c r="N35" s="20">
        <f>Table5[[#This Row],[7000 Seyðisfjörður]]+Table5[[#This Row],[7509 Borgarfjarðarhreppur]]+Table5[[#This Row],[7617 Djúpavogshreppur]]+Table5[[#This Row],[7620 Fljótsdalshérað]]+Table5[[#This Row],[7400 Múlaþing]]</f>
        <v>2973361</v>
      </c>
      <c r="O35" s="20">
        <f>Table5[[#This Row],[7502 Vopnafjarðarhreppur]]</f>
        <v>418821</v>
      </c>
      <c r="P35" s="20">
        <f>Table5[[#This Row],[7505 Fljótsdalshreppur]]</f>
        <v>78330</v>
      </c>
    </row>
    <row r="36" spans="1:16">
      <c r="A36" s="2">
        <v>2008</v>
      </c>
      <c r="B36" s="20">
        <v>568764</v>
      </c>
      <c r="C36" s="20">
        <v>3634872</v>
      </c>
      <c r="D36" s="20"/>
      <c r="E36" s="20">
        <v>436908</v>
      </c>
      <c r="F36" s="20">
        <v>109322</v>
      </c>
      <c r="G36" s="20">
        <v>79237</v>
      </c>
      <c r="H36" s="20">
        <v>164902</v>
      </c>
      <c r="I36" s="20">
        <v>268605</v>
      </c>
      <c r="J36" s="20">
        <v>2354827</v>
      </c>
      <c r="L36" s="2">
        <v>2008</v>
      </c>
      <c r="M36" s="20">
        <f>Table5[[#This Row],[7300 Fjarðabyggð]]+Table5[[#This Row],[7613 Breiðdalshreppur]]</f>
        <v>3799774</v>
      </c>
      <c r="N36" s="20">
        <f>Table5[[#This Row],[7000 Seyðisfjörður]]+Table5[[#This Row],[7509 Borgarfjarðarhreppur]]+Table5[[#This Row],[7617 Djúpavogshreppur]]+Table5[[#This Row],[7620 Fljótsdalshérað]]+Table5[[#This Row],[7400 Múlaþing]]</f>
        <v>3271433</v>
      </c>
      <c r="O36" s="20">
        <f>Table5[[#This Row],[7502 Vopnafjarðarhreppur]]</f>
        <v>436908</v>
      </c>
      <c r="P36" s="20">
        <f>Table5[[#This Row],[7505 Fljótsdalshreppur]]</f>
        <v>109322</v>
      </c>
    </row>
    <row r="37" spans="1:16">
      <c r="A37" s="2">
        <v>2009</v>
      </c>
      <c r="B37" s="20">
        <v>619847</v>
      </c>
      <c r="C37" s="20">
        <v>3714164</v>
      </c>
      <c r="D37" s="20"/>
      <c r="E37" s="20">
        <v>452392</v>
      </c>
      <c r="F37" s="20">
        <v>111201</v>
      </c>
      <c r="G37" s="20">
        <v>94663</v>
      </c>
      <c r="H37" s="20">
        <v>186124</v>
      </c>
      <c r="I37" s="20">
        <v>290391</v>
      </c>
      <c r="J37" s="20">
        <v>2368739</v>
      </c>
      <c r="L37" s="2">
        <v>2009</v>
      </c>
      <c r="M37" s="20">
        <f>Table5[[#This Row],[7300 Fjarðabyggð]]+Table5[[#This Row],[7613 Breiðdalshreppur]]</f>
        <v>3900288</v>
      </c>
      <c r="N37" s="20">
        <f>Table5[[#This Row],[7000 Seyðisfjörður]]+Table5[[#This Row],[7509 Borgarfjarðarhreppur]]+Table5[[#This Row],[7617 Djúpavogshreppur]]+Table5[[#This Row],[7620 Fljótsdalshérað]]+Table5[[#This Row],[7400 Múlaþing]]</f>
        <v>3373640</v>
      </c>
      <c r="O37" s="20">
        <f>Table5[[#This Row],[7502 Vopnafjarðarhreppur]]</f>
        <v>452392</v>
      </c>
      <c r="P37" s="20">
        <f>Table5[[#This Row],[7505 Fljótsdalshreppur]]</f>
        <v>111201</v>
      </c>
    </row>
    <row r="38" spans="1:16">
      <c r="A38" s="2">
        <v>2010</v>
      </c>
      <c r="B38" s="20">
        <v>628508</v>
      </c>
      <c r="C38" s="20">
        <v>3583912</v>
      </c>
      <c r="D38" s="20"/>
      <c r="E38" s="20">
        <v>474921</v>
      </c>
      <c r="F38" s="20">
        <v>132680</v>
      </c>
      <c r="G38" s="20">
        <v>95478</v>
      </c>
      <c r="H38" s="20">
        <v>197234</v>
      </c>
      <c r="I38" s="20">
        <v>316867</v>
      </c>
      <c r="J38" s="20">
        <v>2175614</v>
      </c>
      <c r="L38" s="2">
        <v>2010</v>
      </c>
      <c r="M38" s="20">
        <f>Table5[[#This Row],[7300 Fjarðabyggð]]+Table5[[#This Row],[7613 Breiðdalshreppur]]</f>
        <v>3781146</v>
      </c>
      <c r="N38" s="20">
        <f>Table5[[#This Row],[7000 Seyðisfjörður]]+Table5[[#This Row],[7509 Borgarfjarðarhreppur]]+Table5[[#This Row],[7617 Djúpavogshreppur]]+Table5[[#This Row],[7620 Fljótsdalshérað]]+Table5[[#This Row],[7400 Múlaþing]]</f>
        <v>3216467</v>
      </c>
      <c r="O38" s="20">
        <f>Table5[[#This Row],[7502 Vopnafjarðarhreppur]]</f>
        <v>474921</v>
      </c>
      <c r="P38" s="20">
        <f>Table5[[#This Row],[7505 Fljótsdalshreppur]]</f>
        <v>132680</v>
      </c>
    </row>
    <row r="39" spans="1:16">
      <c r="A39" s="2">
        <v>2011</v>
      </c>
      <c r="B39" s="20">
        <v>622200</v>
      </c>
      <c r="C39" s="20">
        <v>3864960</v>
      </c>
      <c r="D39" s="20"/>
      <c r="E39" s="20">
        <v>506468</v>
      </c>
      <c r="F39" s="20">
        <v>149596</v>
      </c>
      <c r="G39" s="20">
        <v>96151.316553115845</v>
      </c>
      <c r="H39" s="20">
        <v>201507</v>
      </c>
      <c r="I39" s="20">
        <v>323480.22799491882</v>
      </c>
      <c r="J39" s="20">
        <v>2494467</v>
      </c>
      <c r="L39" s="2">
        <v>2011</v>
      </c>
      <c r="M39" s="20">
        <f>Table5[[#This Row],[7300 Fjarðabyggð]]+Table5[[#This Row],[7613 Breiðdalshreppur]]</f>
        <v>4066467</v>
      </c>
      <c r="N39" s="20">
        <f>Table5[[#This Row],[7000 Seyðisfjörður]]+Table5[[#This Row],[7509 Borgarfjarðarhreppur]]+Table5[[#This Row],[7617 Djúpavogshreppur]]+Table5[[#This Row],[7620 Fljótsdalshérað]]+Table5[[#This Row],[7400 Múlaþing]]</f>
        <v>3536298.5445480347</v>
      </c>
      <c r="O39" s="20">
        <f>Table5[[#This Row],[7502 Vopnafjarðarhreppur]]</f>
        <v>506468</v>
      </c>
      <c r="P39" s="20">
        <f>Table5[[#This Row],[7505 Fljótsdalshreppur]]</f>
        <v>149596</v>
      </c>
    </row>
    <row r="40" spans="1:16">
      <c r="A40" s="2">
        <v>2012</v>
      </c>
      <c r="B40" s="20">
        <v>584028</v>
      </c>
      <c r="C40" s="20">
        <v>3961675</v>
      </c>
      <c r="D40" s="20"/>
      <c r="E40" s="20">
        <v>556127</v>
      </c>
      <c r="F40" s="20">
        <v>159479</v>
      </c>
      <c r="G40" s="20">
        <v>96351</v>
      </c>
      <c r="H40" s="20">
        <v>167630</v>
      </c>
      <c r="I40" s="20">
        <v>358277</v>
      </c>
      <c r="J40" s="20">
        <v>2549040</v>
      </c>
      <c r="L40" s="2">
        <v>2012</v>
      </c>
      <c r="M40" s="20">
        <f>Table5[[#This Row],[7300 Fjarðabyggð]]+Table5[[#This Row],[7613 Breiðdalshreppur]]</f>
        <v>4129305</v>
      </c>
      <c r="N40" s="20">
        <f>Table5[[#This Row],[7000 Seyðisfjörður]]+Table5[[#This Row],[7509 Borgarfjarðarhreppur]]+Table5[[#This Row],[7617 Djúpavogshreppur]]+Table5[[#This Row],[7620 Fljótsdalshérað]]+Table5[[#This Row],[7400 Múlaþing]]</f>
        <v>3587696</v>
      </c>
      <c r="O40" s="20">
        <f>Table5[[#This Row],[7502 Vopnafjarðarhreppur]]</f>
        <v>556127</v>
      </c>
      <c r="P40" s="20">
        <f>Table5[[#This Row],[7505 Fljótsdalshreppur]]</f>
        <v>159479</v>
      </c>
    </row>
    <row r="41" spans="1:16">
      <c r="A41" s="2">
        <v>2013</v>
      </c>
      <c r="B41" s="20">
        <v>638290</v>
      </c>
      <c r="C41" s="20">
        <v>4129144</v>
      </c>
      <c r="D41" s="20"/>
      <c r="E41" s="20">
        <v>698528</v>
      </c>
      <c r="F41" s="20">
        <v>160377</v>
      </c>
      <c r="G41" s="20">
        <v>107916</v>
      </c>
      <c r="H41" s="20">
        <v>161845</v>
      </c>
      <c r="I41" s="20">
        <v>408418</v>
      </c>
      <c r="J41" s="20">
        <v>2793886</v>
      </c>
      <c r="L41" s="2">
        <v>2013</v>
      </c>
      <c r="M41" s="20">
        <f>Table5[[#This Row],[7300 Fjarðabyggð]]+Table5[[#This Row],[7613 Breiðdalshreppur]]</f>
        <v>4290989</v>
      </c>
      <c r="N41" s="20">
        <f>Table5[[#This Row],[7000 Seyðisfjörður]]+Table5[[#This Row],[7509 Borgarfjarðarhreppur]]+Table5[[#This Row],[7617 Djúpavogshreppur]]+Table5[[#This Row],[7620 Fljótsdalshérað]]+Table5[[#This Row],[7400 Múlaþing]]</f>
        <v>3948510</v>
      </c>
      <c r="O41" s="20">
        <f>Table5[[#This Row],[7502 Vopnafjarðarhreppur]]</f>
        <v>698528</v>
      </c>
      <c r="P41" s="20">
        <f>Table5[[#This Row],[7505 Fljótsdalshreppur]]</f>
        <v>160377</v>
      </c>
    </row>
    <row r="42" spans="1:16">
      <c r="A42" s="2">
        <v>2014</v>
      </c>
      <c r="B42" s="20">
        <v>635063</v>
      </c>
      <c r="C42" s="20">
        <v>4766012</v>
      </c>
      <c r="D42" s="20"/>
      <c r="E42" s="20">
        <v>834837</v>
      </c>
      <c r="F42" s="20">
        <v>146239</v>
      </c>
      <c r="G42" s="20">
        <v>116493</v>
      </c>
      <c r="H42" s="20">
        <v>168090</v>
      </c>
      <c r="I42" s="20">
        <v>456132</v>
      </c>
      <c r="J42" s="20">
        <v>2937985</v>
      </c>
      <c r="L42" s="2">
        <v>2014</v>
      </c>
      <c r="M42" s="20">
        <f>Table5[[#This Row],[7300 Fjarðabyggð]]+Table5[[#This Row],[7613 Breiðdalshreppur]]</f>
        <v>4934102</v>
      </c>
      <c r="N42" s="20">
        <f>Table5[[#This Row],[7000 Seyðisfjörður]]+Table5[[#This Row],[7509 Borgarfjarðarhreppur]]+Table5[[#This Row],[7617 Djúpavogshreppur]]+Table5[[#This Row],[7620 Fljótsdalshérað]]+Table5[[#This Row],[7400 Múlaþing]]</f>
        <v>4145673</v>
      </c>
      <c r="O42" s="20">
        <f>Table5[[#This Row],[7502 Vopnafjarðarhreppur]]</f>
        <v>834837</v>
      </c>
      <c r="P42" s="20">
        <f>Table5[[#This Row],[7505 Fljótsdalshreppur]]</f>
        <v>146239</v>
      </c>
    </row>
    <row r="43" spans="1:16">
      <c r="A43" s="2">
        <v>2015</v>
      </c>
      <c r="B43" s="20">
        <v>712802</v>
      </c>
      <c r="C43" s="20">
        <v>5016605</v>
      </c>
      <c r="D43" s="20"/>
      <c r="E43" s="20">
        <v>870146</v>
      </c>
      <c r="F43" s="20">
        <v>144561</v>
      </c>
      <c r="G43" s="20">
        <v>126968</v>
      </c>
      <c r="H43" s="20">
        <v>172388</v>
      </c>
      <c r="I43" s="20">
        <v>535234</v>
      </c>
      <c r="J43" s="20">
        <v>3260448</v>
      </c>
      <c r="L43" s="2">
        <v>2015</v>
      </c>
      <c r="M43" s="20">
        <f>Table5[[#This Row],[7300 Fjarðabyggð]]+Table5[[#This Row],[7613 Breiðdalshreppur]]</f>
        <v>5188993</v>
      </c>
      <c r="N43" s="20">
        <f>Table5[[#This Row],[7000 Seyðisfjörður]]+Table5[[#This Row],[7509 Borgarfjarðarhreppur]]+Table5[[#This Row],[7617 Djúpavogshreppur]]+Table5[[#This Row],[7620 Fljótsdalshérað]]+Table5[[#This Row],[7400 Múlaþing]]</f>
        <v>4635452</v>
      </c>
      <c r="O43" s="20">
        <f>Table5[[#This Row],[7502 Vopnafjarðarhreppur]]</f>
        <v>870146</v>
      </c>
      <c r="P43" s="20">
        <f>Table5[[#This Row],[7505 Fljótsdalshreppur]]</f>
        <v>144561</v>
      </c>
    </row>
    <row r="44" spans="1:16">
      <c r="A44" s="2">
        <v>2016</v>
      </c>
      <c r="B44" s="20">
        <v>760974</v>
      </c>
      <c r="C44" s="20">
        <v>5578781</v>
      </c>
      <c r="D44" s="20"/>
      <c r="E44" s="20">
        <v>907496</v>
      </c>
      <c r="F44" s="20">
        <v>154441</v>
      </c>
      <c r="G44" s="20">
        <v>136564</v>
      </c>
      <c r="H44" s="20">
        <v>183627</v>
      </c>
      <c r="I44" s="20">
        <v>536293</v>
      </c>
      <c r="J44" s="20">
        <v>3333501</v>
      </c>
      <c r="L44" s="2">
        <v>2016</v>
      </c>
      <c r="M44" s="20">
        <f>Table5[[#This Row],[7300 Fjarðabyggð]]+Table5[[#This Row],[7613 Breiðdalshreppur]]</f>
        <v>5762408</v>
      </c>
      <c r="N44" s="20">
        <f>Table5[[#This Row],[7000 Seyðisfjörður]]+Table5[[#This Row],[7509 Borgarfjarðarhreppur]]+Table5[[#This Row],[7617 Djúpavogshreppur]]+Table5[[#This Row],[7620 Fljótsdalshérað]]+Table5[[#This Row],[7400 Múlaþing]]</f>
        <v>4767332</v>
      </c>
      <c r="O44" s="20">
        <f>Table5[[#This Row],[7502 Vopnafjarðarhreppur]]</f>
        <v>907496</v>
      </c>
      <c r="P44" s="20">
        <f>Table5[[#This Row],[7505 Fljótsdalshreppur]]</f>
        <v>154441</v>
      </c>
    </row>
    <row r="45" spans="1:16">
      <c r="A45" s="2">
        <v>2017</v>
      </c>
      <c r="B45" s="20">
        <v>810566</v>
      </c>
      <c r="C45" s="20">
        <v>6272975</v>
      </c>
      <c r="D45" s="20"/>
      <c r="E45" s="20">
        <v>958040</v>
      </c>
      <c r="F45" s="20">
        <v>161956</v>
      </c>
      <c r="G45" s="20">
        <v>121912</v>
      </c>
      <c r="H45" s="20">
        <v>214021</v>
      </c>
      <c r="I45" s="20">
        <v>559555</v>
      </c>
      <c r="J45" s="20">
        <v>3723071</v>
      </c>
      <c r="L45" s="2">
        <v>2017</v>
      </c>
      <c r="M45" s="20">
        <f>Table5[[#This Row],[7300 Fjarðabyggð]]+Table5[[#This Row],[7613 Breiðdalshreppur]]</f>
        <v>6486996</v>
      </c>
      <c r="N45" s="20">
        <f>Table5[[#This Row],[7000 Seyðisfjörður]]+Table5[[#This Row],[7509 Borgarfjarðarhreppur]]+Table5[[#This Row],[7617 Djúpavogshreppur]]+Table5[[#This Row],[7620 Fljótsdalshérað]]+Table5[[#This Row],[7400 Múlaþing]]</f>
        <v>5215104</v>
      </c>
      <c r="O45" s="20">
        <f>Table5[[#This Row],[7502 Vopnafjarðarhreppur]]</f>
        <v>958040</v>
      </c>
      <c r="P45" s="20">
        <f>Table5[[#This Row],[7505 Fljótsdalshreppur]]</f>
        <v>161956</v>
      </c>
    </row>
    <row r="46" spans="1:16">
      <c r="A46" s="2">
        <v>2018</v>
      </c>
      <c r="B46" s="20">
        <v>956184</v>
      </c>
      <c r="C46" s="20">
        <v>7028997</v>
      </c>
      <c r="D46" s="20"/>
      <c r="E46" s="20">
        <v>1026427</v>
      </c>
      <c r="F46" s="20">
        <v>159754</v>
      </c>
      <c r="G46" s="20">
        <v>128601</v>
      </c>
      <c r="H46" s="20"/>
      <c r="I46" s="20">
        <v>611950</v>
      </c>
      <c r="J46" s="20">
        <v>3817566</v>
      </c>
      <c r="L46" s="2">
        <v>2018</v>
      </c>
      <c r="M46" s="20">
        <f>Table5[[#This Row],[7300 Fjarðabyggð]]+Table5[[#This Row],[7613 Breiðdalshreppur]]</f>
        <v>7028997</v>
      </c>
      <c r="N46" s="20">
        <f>Table5[[#This Row],[7000 Seyðisfjörður]]+Table5[[#This Row],[7509 Borgarfjarðarhreppur]]+Table5[[#This Row],[7617 Djúpavogshreppur]]+Table5[[#This Row],[7620 Fljótsdalshérað]]+Table5[[#This Row],[7400 Múlaþing]]</f>
        <v>5514301</v>
      </c>
      <c r="O46" s="20">
        <f>Table5[[#This Row],[7502 Vopnafjarðarhreppur]]</f>
        <v>1026427</v>
      </c>
      <c r="P46" s="20">
        <f>Table5[[#This Row],[7505 Fljótsdalshreppur]]</f>
        <v>159754</v>
      </c>
    </row>
    <row r="47" spans="1:16">
      <c r="A47" s="2">
        <v>2019</v>
      </c>
      <c r="B47" s="20">
        <v>1003682</v>
      </c>
      <c r="C47" s="20">
        <v>7557260</v>
      </c>
      <c r="D47" s="20"/>
      <c r="E47" s="20">
        <v>1149829</v>
      </c>
      <c r="F47" s="20">
        <v>276185</v>
      </c>
      <c r="G47" s="20">
        <v>153446</v>
      </c>
      <c r="H47" s="20"/>
      <c r="I47" s="20">
        <v>689555</v>
      </c>
      <c r="J47" s="20">
        <v>4144714</v>
      </c>
      <c r="L47" s="2">
        <v>2019</v>
      </c>
      <c r="M47" s="20">
        <f>Table5[[#This Row],[7300 Fjarðabyggð]]+Table5[[#This Row],[7613 Breiðdalshreppur]]</f>
        <v>7557260</v>
      </c>
      <c r="N47" s="20">
        <f>Table5[[#This Row],[7000 Seyðisfjörður]]+Table5[[#This Row],[7509 Borgarfjarðarhreppur]]+Table5[[#This Row],[7617 Djúpavogshreppur]]+Table5[[#This Row],[7620 Fljótsdalshérað]]+Table5[[#This Row],[7400 Múlaþing]]</f>
        <v>5991397</v>
      </c>
      <c r="O47" s="20">
        <f>Table5[[#This Row],[7502 Vopnafjarðarhreppur]]</f>
        <v>1149829</v>
      </c>
      <c r="P47" s="20">
        <f>Table5[[#This Row],[7505 Fljótsdalshreppur]]</f>
        <v>276185</v>
      </c>
    </row>
    <row r="48" spans="1:16">
      <c r="A48" s="2">
        <v>2020</v>
      </c>
      <c r="B48" s="20"/>
      <c r="C48" s="20">
        <v>7943082</v>
      </c>
      <c r="D48" s="20">
        <v>6702115</v>
      </c>
      <c r="E48" s="20">
        <v>1225808</v>
      </c>
      <c r="F48" s="20">
        <v>264449</v>
      </c>
      <c r="G48" s="20"/>
      <c r="H48" s="20"/>
      <c r="I48" s="20"/>
      <c r="J48" s="20"/>
      <c r="L48" s="2">
        <v>2020</v>
      </c>
      <c r="M48" s="20">
        <f>Table5[[#This Row],[7300 Fjarðabyggð]]+Table5[[#This Row],[7613 Breiðdalshreppur]]</f>
        <v>7943082</v>
      </c>
      <c r="N48" s="20">
        <f>Table5[[#This Row],[7000 Seyðisfjörður]]+Table5[[#This Row],[7509 Borgarfjarðarhreppur]]+Table5[[#This Row],[7617 Djúpavogshreppur]]+Table5[[#This Row],[7620 Fljótsdalshérað]]+Table5[[#This Row],[7400 Múlaþing]]</f>
        <v>6702115</v>
      </c>
      <c r="O48" s="20">
        <f>Table5[[#This Row],[7502 Vopnafjarðarhreppur]]</f>
        <v>1225808</v>
      </c>
      <c r="P48" s="20">
        <f>Table5[[#This Row],[7505 Fljótsdalshreppur]]</f>
        <v>264449</v>
      </c>
    </row>
    <row r="49" spans="1:16">
      <c r="A49" s="2">
        <v>2021</v>
      </c>
      <c r="B49" s="20"/>
      <c r="C49" s="20">
        <v>8137221</v>
      </c>
      <c r="D49" s="20">
        <v>7275206</v>
      </c>
      <c r="E49" s="20">
        <v>1313361</v>
      </c>
      <c r="F49" s="20">
        <v>289589</v>
      </c>
      <c r="G49" s="20"/>
      <c r="H49" s="20"/>
      <c r="I49" s="20"/>
      <c r="J49" s="20"/>
      <c r="L49" s="2">
        <v>2021</v>
      </c>
      <c r="M49" s="20">
        <f>Table5[[#This Row],[7300 Fjarðabyggð]]+Table5[[#This Row],[7613 Breiðdalshreppur]]</f>
        <v>8137221</v>
      </c>
      <c r="N49" s="20">
        <f>Table5[[#This Row],[7000 Seyðisfjörður]]+Table5[[#This Row],[7509 Borgarfjarðarhreppur]]+Table5[[#This Row],[7617 Djúpavogshreppur]]+Table5[[#This Row],[7620 Fljótsdalshérað]]+Table5[[#This Row],[7400 Múlaþing]]</f>
        <v>7275206</v>
      </c>
      <c r="O49" s="20">
        <f>Table5[[#This Row],[7502 Vopnafjarðarhreppur]]</f>
        <v>1313361</v>
      </c>
      <c r="P49" s="20">
        <f>Table5[[#This Row],[7505 Fljótsdalshreppur]]</f>
        <v>289589</v>
      </c>
    </row>
    <row r="50" spans="1:16">
      <c r="A50" s="63">
        <v>2022</v>
      </c>
      <c r="B50" s="64"/>
      <c r="C50" s="64">
        <v>8817733</v>
      </c>
      <c r="D50" s="64">
        <v>7773331</v>
      </c>
      <c r="E50" s="64">
        <v>1356642</v>
      </c>
      <c r="F50" s="64">
        <v>260355</v>
      </c>
      <c r="G50" s="64"/>
      <c r="H50" s="64"/>
      <c r="I50" s="64"/>
      <c r="J50" s="64"/>
      <c r="L50" s="63">
        <v>2022</v>
      </c>
      <c r="M50" s="64">
        <f>Table5[[#This Row],[7300 Fjarðabyggð]]+Table5[[#This Row],[7613 Breiðdalshreppur]]</f>
        <v>8817733</v>
      </c>
      <c r="N50" s="64">
        <f>Table5[[#This Row],[7000 Seyðisfjörður]]+Table5[[#This Row],[7509 Borgarfjarðarhreppur]]+Table5[[#This Row],[7617 Djúpavogshreppur]]+Table5[[#This Row],[7620 Fljótsdalshérað]]+Table5[[#This Row],[7400 Múlaþing]]</f>
        <v>7773331</v>
      </c>
      <c r="O50" s="64">
        <f>Table5[[#This Row],[7502 Vopnafjarðarhreppur]]</f>
        <v>1356642</v>
      </c>
      <c r="P50" s="64">
        <f>Table5[[#This Row],[7505 Fljótsdalshreppur]]</f>
        <v>260355</v>
      </c>
    </row>
    <row r="52" spans="1:16">
      <c r="L52" s="2" t="s">
        <v>10</v>
      </c>
      <c r="M52" t="s">
        <v>16</v>
      </c>
      <c r="N52" t="s">
        <v>16</v>
      </c>
    </row>
    <row r="53" spans="1:16">
      <c r="A53" t="s">
        <v>10</v>
      </c>
      <c r="B53" t="s">
        <v>0</v>
      </c>
      <c r="C53" t="s">
        <v>1</v>
      </c>
      <c r="D53" t="s">
        <v>15</v>
      </c>
      <c r="E53" t="s">
        <v>3</v>
      </c>
      <c r="F53" t="s">
        <v>4</v>
      </c>
      <c r="G53" t="s">
        <v>5</v>
      </c>
      <c r="H53" t="s">
        <v>6</v>
      </c>
      <c r="I53" t="s">
        <v>7</v>
      </c>
      <c r="J53" t="s">
        <v>8</v>
      </c>
      <c r="L53" t="s">
        <v>18</v>
      </c>
      <c r="M53" t="s">
        <v>1</v>
      </c>
      <c r="N53" t="s">
        <v>15</v>
      </c>
      <c r="O53" t="s">
        <v>3</v>
      </c>
      <c r="P53" t="s">
        <v>4</v>
      </c>
    </row>
    <row r="54" spans="1:16">
      <c r="A54" s="2">
        <v>2002</v>
      </c>
      <c r="B54" s="21">
        <v>-21151</v>
      </c>
      <c r="C54" s="21">
        <v>29989</v>
      </c>
      <c r="E54" s="21">
        <v>-51843</v>
      </c>
      <c r="F54" s="21">
        <v>511</v>
      </c>
      <c r="G54" s="21">
        <v>-1663</v>
      </c>
      <c r="H54" s="21">
        <v>-7481</v>
      </c>
      <c r="I54" s="21">
        <v>-21603</v>
      </c>
      <c r="J54" s="21">
        <v>-43167</v>
      </c>
      <c r="L54" s="2">
        <v>2002</v>
      </c>
      <c r="M54" s="20">
        <f>-(Table8[[#This Row],[7300 Fjarðabyggð]]+Table8[[#This Row],[7613 Breiðdalshreppur]])</f>
        <v>-22508</v>
      </c>
      <c r="N54" s="20">
        <f>-(Table8[[#This Row],[7620 Fljótsdalshérað]]+Table8[[#This Row],[7617 Djúpavogshreppur]]+Table8[[#This Row],[7509 Borgarfjarðarhreppur]]+Table8[[#This Row],[7000 Seyðisfjörður]]+Table8[[#This Row],[7400 Múlaþing]])</f>
        <v>87584</v>
      </c>
      <c r="O54" s="20">
        <f>-(Table8[[#This Row],[7502 Vopnafjarðarhreppur]])</f>
        <v>51843</v>
      </c>
      <c r="P54" s="20">
        <f>-(Table8[[#This Row],[7505 Fljótsdalshreppur]])</f>
        <v>-511</v>
      </c>
    </row>
    <row r="55" spans="1:16">
      <c r="A55" s="2">
        <v>2003</v>
      </c>
      <c r="B55" s="21">
        <v>-39265</v>
      </c>
      <c r="C55" s="21">
        <v>-178192</v>
      </c>
      <c r="E55" s="21">
        <v>-52852</v>
      </c>
      <c r="F55" s="21">
        <v>1029</v>
      </c>
      <c r="G55" s="21">
        <v>-1949</v>
      </c>
      <c r="H55" s="21">
        <v>-11303</v>
      </c>
      <c r="I55" s="21">
        <v>-20733</v>
      </c>
      <c r="J55" s="21">
        <v>-68389</v>
      </c>
      <c r="L55" s="2">
        <v>2003</v>
      </c>
      <c r="M55" s="20">
        <f>-(Table8[[#This Row],[7300 Fjarðabyggð]]+Table8[[#This Row],[7613 Breiðdalshreppur]])</f>
        <v>189495</v>
      </c>
      <c r="N55" s="20">
        <f>-(Table8[[#This Row],[7620 Fljótsdalshérað]]+Table8[[#This Row],[7617 Djúpavogshreppur]]+Table8[[#This Row],[7509 Borgarfjarðarhreppur]]+Table8[[#This Row],[7000 Seyðisfjörður]]+Table8[[#This Row],[7400 Múlaþing]])</f>
        <v>130336</v>
      </c>
      <c r="O55" s="20">
        <f>-(Table8[[#This Row],[7502 Vopnafjarðarhreppur]])</f>
        <v>52852</v>
      </c>
      <c r="P55" s="20">
        <f>-(Table8[[#This Row],[7505 Fljótsdalshreppur]])</f>
        <v>-1029</v>
      </c>
    </row>
    <row r="56" spans="1:16">
      <c r="A56" s="2">
        <v>2004</v>
      </c>
      <c r="B56" s="21">
        <v>-50776</v>
      </c>
      <c r="C56" s="21">
        <v>-116356</v>
      </c>
      <c r="E56" s="21">
        <v>-78985</v>
      </c>
      <c r="F56" s="21">
        <v>1180</v>
      </c>
      <c r="G56" s="21">
        <v>-2675</v>
      </c>
      <c r="H56" s="21">
        <v>-14967</v>
      </c>
      <c r="I56" s="21">
        <v>-24414</v>
      </c>
      <c r="J56" s="21">
        <v>-83887</v>
      </c>
      <c r="L56" s="2">
        <v>2004</v>
      </c>
      <c r="M56" s="20">
        <f>-(Table8[[#This Row],[7300 Fjarðabyggð]]+Table8[[#This Row],[7613 Breiðdalshreppur]])</f>
        <v>131323</v>
      </c>
      <c r="N56" s="20">
        <f>-(Table8[[#This Row],[7620 Fljótsdalshérað]]+Table8[[#This Row],[7617 Djúpavogshreppur]]+Table8[[#This Row],[7509 Borgarfjarðarhreppur]]+Table8[[#This Row],[7000 Seyðisfjörður]]+Table8[[#This Row],[7400 Múlaþing]])</f>
        <v>161752</v>
      </c>
      <c r="O56" s="20">
        <f>-(Table8[[#This Row],[7502 Vopnafjarðarhreppur]])</f>
        <v>78985</v>
      </c>
      <c r="P56" s="20">
        <f>-(Table8[[#This Row],[7505 Fljótsdalshreppur]])</f>
        <v>-1180</v>
      </c>
    </row>
    <row r="57" spans="1:16">
      <c r="A57" s="2">
        <v>2005</v>
      </c>
      <c r="B57" s="21">
        <v>-45550</v>
      </c>
      <c r="C57" s="21">
        <v>-170259</v>
      </c>
      <c r="E57" s="21">
        <v>-16378</v>
      </c>
      <c r="F57" s="21">
        <v>2501</v>
      </c>
      <c r="G57" s="21">
        <v>-2701</v>
      </c>
      <c r="H57" s="21">
        <v>-15137</v>
      </c>
      <c r="I57" s="21">
        <v>-42793</v>
      </c>
      <c r="J57" s="21">
        <v>-119984</v>
      </c>
      <c r="L57" s="2">
        <v>2005</v>
      </c>
      <c r="M57" s="20">
        <f>-(Table8[[#This Row],[7300 Fjarðabyggð]]+Table8[[#This Row],[7613 Breiðdalshreppur]])</f>
        <v>185396</v>
      </c>
      <c r="N57" s="20">
        <f>-(Table8[[#This Row],[7620 Fljótsdalshérað]]+Table8[[#This Row],[7617 Djúpavogshreppur]]+Table8[[#This Row],[7509 Borgarfjarðarhreppur]]+Table8[[#This Row],[7000 Seyðisfjörður]]+Table8[[#This Row],[7400 Múlaþing]])</f>
        <v>211028</v>
      </c>
      <c r="O57" s="20">
        <f>-(Table8[[#This Row],[7502 Vopnafjarðarhreppur]])</f>
        <v>16378</v>
      </c>
      <c r="P57" s="20">
        <f>-(Table8[[#This Row],[7505 Fljótsdalshreppur]])</f>
        <v>-2501</v>
      </c>
    </row>
    <row r="58" spans="1:16">
      <c r="A58" s="2">
        <v>2006</v>
      </c>
      <c r="B58" s="21">
        <v>-74722</v>
      </c>
      <c r="C58" s="21">
        <v>-631176</v>
      </c>
      <c r="E58" s="21">
        <v>-63894</v>
      </c>
      <c r="F58" s="21">
        <v>13429</v>
      </c>
      <c r="G58" s="21">
        <v>-2744</v>
      </c>
      <c r="H58" s="21">
        <v>-18395</v>
      </c>
      <c r="I58" s="21">
        <v>-58347</v>
      </c>
      <c r="J58" s="21">
        <v>-174153</v>
      </c>
      <c r="L58" s="2">
        <v>2006</v>
      </c>
      <c r="M58" s="20">
        <f>-(Table8[[#This Row],[7300 Fjarðabyggð]]+Table8[[#This Row],[7613 Breiðdalshreppur]])</f>
        <v>649571</v>
      </c>
      <c r="N58" s="20">
        <f>-(Table8[[#This Row],[7620 Fljótsdalshérað]]+Table8[[#This Row],[7617 Djúpavogshreppur]]+Table8[[#This Row],[7509 Borgarfjarðarhreppur]]+Table8[[#This Row],[7000 Seyðisfjörður]]+Table8[[#This Row],[7400 Múlaþing]])</f>
        <v>309966</v>
      </c>
      <c r="O58" s="20">
        <f>-(Table8[[#This Row],[7502 Vopnafjarðarhreppur]])</f>
        <v>63894</v>
      </c>
      <c r="P58" s="20">
        <f>-(Table8[[#This Row],[7505 Fljótsdalshreppur]])</f>
        <v>-13429</v>
      </c>
    </row>
    <row r="59" spans="1:16">
      <c r="A59" s="2">
        <v>2007</v>
      </c>
      <c r="B59" s="21">
        <v>-61608</v>
      </c>
      <c r="C59" s="21">
        <v>-270087</v>
      </c>
      <c r="E59" s="21">
        <v>-32729</v>
      </c>
      <c r="F59" s="21">
        <v>22865</v>
      </c>
      <c r="G59" s="21">
        <v>-582</v>
      </c>
      <c r="H59" s="21">
        <v>-14499</v>
      </c>
      <c r="I59" s="21">
        <v>-55771</v>
      </c>
      <c r="J59" s="21">
        <v>-175642</v>
      </c>
      <c r="L59" s="2">
        <v>2007</v>
      </c>
      <c r="M59" s="20">
        <f>-(Table8[[#This Row],[7300 Fjarðabyggð]]+Table8[[#This Row],[7613 Breiðdalshreppur]])</f>
        <v>284586</v>
      </c>
      <c r="N59" s="20">
        <f>-(Table8[[#This Row],[7620 Fljótsdalshérað]]+Table8[[#This Row],[7617 Djúpavogshreppur]]+Table8[[#This Row],[7509 Borgarfjarðarhreppur]]+Table8[[#This Row],[7000 Seyðisfjörður]]+Table8[[#This Row],[7400 Múlaþing]])</f>
        <v>293603</v>
      </c>
      <c r="O59" s="20">
        <f>-(Table8[[#This Row],[7502 Vopnafjarðarhreppur]])</f>
        <v>32729</v>
      </c>
      <c r="P59" s="20">
        <f>-(Table8[[#This Row],[7505 Fljótsdalshreppur]])</f>
        <v>-22865</v>
      </c>
    </row>
    <row r="60" spans="1:16">
      <c r="A60" s="2">
        <v>2008</v>
      </c>
      <c r="B60" s="21">
        <v>-156554</v>
      </c>
      <c r="C60" s="21">
        <v>-2004739</v>
      </c>
      <c r="E60" s="21">
        <v>-198206</v>
      </c>
      <c r="F60" s="21">
        <v>-4084</v>
      </c>
      <c r="G60" s="21">
        <v>-6278</v>
      </c>
      <c r="H60" s="21">
        <v>-40755</v>
      </c>
      <c r="I60" s="21">
        <v>-115901</v>
      </c>
      <c r="J60" s="21">
        <v>-695510</v>
      </c>
      <c r="L60" s="2">
        <v>2008</v>
      </c>
      <c r="M60" s="20">
        <f>-(Table8[[#This Row],[7300 Fjarðabyggð]]+Table8[[#This Row],[7613 Breiðdalshreppur]])</f>
        <v>2045494</v>
      </c>
      <c r="N60" s="20">
        <f>-(Table8[[#This Row],[7620 Fljótsdalshérað]]+Table8[[#This Row],[7617 Djúpavogshreppur]]+Table8[[#This Row],[7509 Borgarfjarðarhreppur]]+Table8[[#This Row],[7000 Seyðisfjörður]]+Table8[[#This Row],[7400 Múlaþing]])</f>
        <v>974243</v>
      </c>
      <c r="O60" s="20">
        <f>-(Table8[[#This Row],[7502 Vopnafjarðarhreppur]])</f>
        <v>198206</v>
      </c>
      <c r="P60" s="20">
        <f>-(Table8[[#This Row],[7505 Fljótsdalshreppur]])</f>
        <v>4084</v>
      </c>
    </row>
    <row r="61" spans="1:16">
      <c r="A61" s="2">
        <v>2009</v>
      </c>
      <c r="B61" s="21">
        <v>-120780</v>
      </c>
      <c r="C61" s="21">
        <v>-941077</v>
      </c>
      <c r="E61" s="21">
        <v>-130805</v>
      </c>
      <c r="F61" s="21">
        <v>52622</v>
      </c>
      <c r="G61" s="21">
        <v>-3090</v>
      </c>
      <c r="H61" s="21">
        <v>-30616</v>
      </c>
      <c r="I61" s="21">
        <v>-38206</v>
      </c>
      <c r="J61" s="21">
        <v>-482321</v>
      </c>
      <c r="L61" s="2">
        <v>2009</v>
      </c>
      <c r="M61" s="20">
        <f>-(Table8[[#This Row],[7300 Fjarðabyggð]]+Table8[[#This Row],[7613 Breiðdalshreppur]])</f>
        <v>971693</v>
      </c>
      <c r="N61" s="20">
        <f>-(Table8[[#This Row],[7620 Fljótsdalshérað]]+Table8[[#This Row],[7617 Djúpavogshreppur]]+Table8[[#This Row],[7509 Borgarfjarðarhreppur]]+Table8[[#This Row],[7000 Seyðisfjörður]]+Table8[[#This Row],[7400 Múlaþing]])</f>
        <v>644397</v>
      </c>
      <c r="O61" s="20">
        <f>-(Table8[[#This Row],[7502 Vopnafjarðarhreppur]])</f>
        <v>130805</v>
      </c>
      <c r="P61" s="20">
        <f>-(Table8[[#This Row],[7505 Fljótsdalshreppur]])</f>
        <v>-52622</v>
      </c>
    </row>
    <row r="62" spans="1:16">
      <c r="A62" s="2">
        <v>2010</v>
      </c>
      <c r="B62" s="21">
        <v>-61256</v>
      </c>
      <c r="C62" s="21">
        <v>-126489</v>
      </c>
      <c r="E62" s="21">
        <v>-57828</v>
      </c>
      <c r="F62" s="21">
        <v>20111</v>
      </c>
      <c r="G62" s="21">
        <v>-638</v>
      </c>
      <c r="H62" s="21">
        <v>-15822</v>
      </c>
      <c r="I62" s="21">
        <v>-35837</v>
      </c>
      <c r="J62" s="21">
        <v>-228058</v>
      </c>
      <c r="L62" s="2">
        <v>2010</v>
      </c>
      <c r="M62" s="20">
        <f>-(Table8[[#This Row],[7300 Fjarðabyggð]]+Table8[[#This Row],[7613 Breiðdalshreppur]])</f>
        <v>142311</v>
      </c>
      <c r="N62" s="20">
        <f>-(Table8[[#This Row],[7620 Fljótsdalshérað]]+Table8[[#This Row],[7617 Djúpavogshreppur]]+Table8[[#This Row],[7509 Borgarfjarðarhreppur]]+Table8[[#This Row],[7000 Seyðisfjörður]]+Table8[[#This Row],[7400 Múlaþing]])</f>
        <v>325789</v>
      </c>
      <c r="O62" s="20">
        <f>-(Table8[[#This Row],[7502 Vopnafjarðarhreppur]])</f>
        <v>57828</v>
      </c>
      <c r="P62" s="20">
        <f>-(Table8[[#This Row],[7505 Fljótsdalshreppur]])</f>
        <v>-20111</v>
      </c>
    </row>
    <row r="63" spans="1:16">
      <c r="A63" s="2">
        <v>2011</v>
      </c>
      <c r="B63" s="21">
        <v>-100608</v>
      </c>
      <c r="C63" s="21">
        <v>-640561</v>
      </c>
      <c r="E63" s="21">
        <v>144483</v>
      </c>
      <c r="F63" s="21">
        <v>6096</v>
      </c>
      <c r="G63" s="21">
        <v>-3913.52392578125</v>
      </c>
      <c r="H63" s="21">
        <v>-26292</v>
      </c>
      <c r="I63" s="21">
        <v>-44588</v>
      </c>
      <c r="J63" s="21">
        <v>-623994</v>
      </c>
      <c r="L63" s="2">
        <v>2011</v>
      </c>
      <c r="M63" s="20">
        <f>-(Table8[[#This Row],[7300 Fjarðabyggð]]+Table8[[#This Row],[7613 Breiðdalshreppur]])</f>
        <v>666853</v>
      </c>
      <c r="N63" s="20">
        <f>-(Table8[[#This Row],[7620 Fljótsdalshérað]]+Table8[[#This Row],[7617 Djúpavogshreppur]]+Table8[[#This Row],[7509 Borgarfjarðarhreppur]]+Table8[[#This Row],[7000 Seyðisfjörður]]+Table8[[#This Row],[7400 Múlaþing]])</f>
        <v>773103.52392578125</v>
      </c>
      <c r="O63" s="20">
        <f>-(Table8[[#This Row],[7502 Vopnafjarðarhreppur]])</f>
        <v>-144483</v>
      </c>
      <c r="P63" s="20">
        <f>-(Table8[[#This Row],[7505 Fljótsdalshreppur]])</f>
        <v>-6096</v>
      </c>
    </row>
    <row r="64" spans="1:16">
      <c r="A64" s="2">
        <v>2012</v>
      </c>
      <c r="B64" s="21">
        <v>-90565</v>
      </c>
      <c r="C64" s="21">
        <v>-482353</v>
      </c>
      <c r="E64" s="21">
        <v>-40280</v>
      </c>
      <c r="F64" s="21">
        <v>1801</v>
      </c>
      <c r="G64" s="21">
        <v>-2369</v>
      </c>
      <c r="H64" s="21">
        <v>-23899</v>
      </c>
      <c r="I64" s="21">
        <v>-38959</v>
      </c>
      <c r="J64" s="21">
        <v>-512109</v>
      </c>
      <c r="L64" s="2">
        <v>2012</v>
      </c>
      <c r="M64" s="20">
        <f>-(Table8[[#This Row],[7300 Fjarðabyggð]]+Table8[[#This Row],[7613 Breiðdalshreppur]])</f>
        <v>506252</v>
      </c>
      <c r="N64" s="20">
        <f>-(Table8[[#This Row],[7620 Fljótsdalshérað]]+Table8[[#This Row],[7617 Djúpavogshreppur]]+Table8[[#This Row],[7509 Borgarfjarðarhreppur]]+Table8[[#This Row],[7000 Seyðisfjörður]]+Table8[[#This Row],[7400 Múlaþing]])</f>
        <v>644002</v>
      </c>
      <c r="O64" s="20">
        <f>-(Table8[[#This Row],[7502 Vopnafjarðarhreppur]])</f>
        <v>40280</v>
      </c>
      <c r="P64" s="20">
        <f>-(Table8[[#This Row],[7505 Fljótsdalshreppur]])</f>
        <v>-1801</v>
      </c>
    </row>
    <row r="65" spans="1:16">
      <c r="A65" s="2">
        <v>2013</v>
      </c>
      <c r="B65" s="21">
        <v>-56707</v>
      </c>
      <c r="C65" s="21">
        <v>-99938</v>
      </c>
      <c r="E65" s="21">
        <v>-18342</v>
      </c>
      <c r="F65" s="21">
        <v>3246</v>
      </c>
      <c r="G65" s="21">
        <v>-1663</v>
      </c>
      <c r="H65" s="21">
        <v>-19554</v>
      </c>
      <c r="I65" s="21">
        <v>-29389</v>
      </c>
      <c r="J65" s="21">
        <v>-454437</v>
      </c>
      <c r="L65" s="2">
        <v>2013</v>
      </c>
      <c r="M65" s="20">
        <f>-(Table8[[#This Row],[7300 Fjarðabyggð]]+Table8[[#This Row],[7613 Breiðdalshreppur]])</f>
        <v>119492</v>
      </c>
      <c r="N65" s="20">
        <f>-(Table8[[#This Row],[7620 Fljótsdalshérað]]+Table8[[#This Row],[7617 Djúpavogshreppur]]+Table8[[#This Row],[7509 Borgarfjarðarhreppur]]+Table8[[#This Row],[7000 Seyðisfjörður]]+Table8[[#This Row],[7400 Múlaþing]])</f>
        <v>542196</v>
      </c>
      <c r="O65" s="20">
        <f>-(Table8[[#This Row],[7502 Vopnafjarðarhreppur]])</f>
        <v>18342</v>
      </c>
      <c r="P65" s="20">
        <f>-(Table8[[#This Row],[7505 Fljótsdalshreppur]])</f>
        <v>-3246</v>
      </c>
    </row>
    <row r="66" spans="1:16">
      <c r="A66" s="2">
        <v>2014</v>
      </c>
      <c r="B66" s="21">
        <v>-45535</v>
      </c>
      <c r="C66" s="21">
        <v>-320917</v>
      </c>
      <c r="E66" s="21">
        <v>-18494</v>
      </c>
      <c r="F66" s="21">
        <v>2623</v>
      </c>
      <c r="G66" s="21">
        <v>-245</v>
      </c>
      <c r="H66" s="21">
        <v>-18015</v>
      </c>
      <c r="I66" s="21">
        <v>-18801</v>
      </c>
      <c r="J66" s="21">
        <v>-336943</v>
      </c>
      <c r="L66" s="2">
        <v>2014</v>
      </c>
      <c r="M66" s="20">
        <f>-(Table8[[#This Row],[7300 Fjarðabyggð]]+Table8[[#This Row],[7613 Breiðdalshreppur]])</f>
        <v>338932</v>
      </c>
      <c r="N66" s="20">
        <f>-(Table8[[#This Row],[7620 Fljótsdalshérað]]+Table8[[#This Row],[7617 Djúpavogshreppur]]+Table8[[#This Row],[7509 Borgarfjarðarhreppur]]+Table8[[#This Row],[7000 Seyðisfjörður]]+Table8[[#This Row],[7400 Múlaþing]])</f>
        <v>401524</v>
      </c>
      <c r="O66" s="20">
        <f>-(Table8[[#This Row],[7502 Vopnafjarðarhreppur]])</f>
        <v>18494</v>
      </c>
      <c r="P66" s="20">
        <f>-(Table8[[#This Row],[7505 Fljótsdalshreppur]])</f>
        <v>-2623</v>
      </c>
    </row>
    <row r="67" spans="1:16">
      <c r="A67" s="2">
        <v>2015</v>
      </c>
      <c r="B67" s="21">
        <v>-49964</v>
      </c>
      <c r="C67" s="21">
        <v>-249389</v>
      </c>
      <c r="E67" s="21">
        <v>-18485</v>
      </c>
      <c r="F67" s="21">
        <v>4887</v>
      </c>
      <c r="G67" s="21">
        <v>80</v>
      </c>
      <c r="H67" s="21">
        <v>-16408</v>
      </c>
      <c r="I67" s="21">
        <v>-19552</v>
      </c>
      <c r="J67" s="21">
        <v>-413733</v>
      </c>
      <c r="L67" s="2">
        <v>2015</v>
      </c>
      <c r="M67" s="20">
        <f>-(Table8[[#This Row],[7300 Fjarðabyggð]]+Table8[[#This Row],[7613 Breiðdalshreppur]])</f>
        <v>265797</v>
      </c>
      <c r="N67" s="20">
        <f>-(Table8[[#This Row],[7620 Fljótsdalshérað]]+Table8[[#This Row],[7617 Djúpavogshreppur]]+Table8[[#This Row],[7509 Borgarfjarðarhreppur]]+Table8[[#This Row],[7000 Seyðisfjörður]]+Table8[[#This Row],[7400 Múlaþing]])</f>
        <v>483169</v>
      </c>
      <c r="O67" s="20">
        <f>-(Table8[[#This Row],[7502 Vopnafjarðarhreppur]])</f>
        <v>18485</v>
      </c>
      <c r="P67" s="20">
        <f>-(Table8[[#This Row],[7505 Fljótsdalshreppur]])</f>
        <v>-4887</v>
      </c>
    </row>
    <row r="68" spans="1:16">
      <c r="A68" s="2">
        <v>2016</v>
      </c>
      <c r="B68" s="21">
        <v>-40161</v>
      </c>
      <c r="C68" s="21">
        <v>-270585</v>
      </c>
      <c r="E68" s="21">
        <v>-19113</v>
      </c>
      <c r="F68" s="21">
        <v>7673</v>
      </c>
      <c r="G68" s="21">
        <v>784</v>
      </c>
      <c r="H68" s="21">
        <v>-11995</v>
      </c>
      <c r="I68" s="21">
        <v>-22391</v>
      </c>
      <c r="J68" s="21">
        <v>-359001</v>
      </c>
      <c r="L68" s="2">
        <v>2016</v>
      </c>
      <c r="M68" s="20">
        <f>-(Table8[[#This Row],[7300 Fjarðabyggð]]+Table8[[#This Row],[7613 Breiðdalshreppur]])</f>
        <v>282580</v>
      </c>
      <c r="N68" s="20">
        <f>-(Table8[[#This Row],[7620 Fljótsdalshérað]]+Table8[[#This Row],[7617 Djúpavogshreppur]]+Table8[[#This Row],[7509 Borgarfjarðarhreppur]]+Table8[[#This Row],[7000 Seyðisfjörður]]+Table8[[#This Row],[7400 Múlaþing]])</f>
        <v>420769</v>
      </c>
      <c r="O68" s="20">
        <f>-(Table8[[#This Row],[7502 Vopnafjarðarhreppur]])</f>
        <v>19113</v>
      </c>
      <c r="P68" s="20">
        <f>-(Table8[[#This Row],[7505 Fljótsdalshreppur]])</f>
        <v>-7673</v>
      </c>
    </row>
    <row r="69" spans="1:16">
      <c r="A69" s="2">
        <v>2017</v>
      </c>
      <c r="B69" s="21">
        <v>-34275</v>
      </c>
      <c r="C69" s="21">
        <v>-296970</v>
      </c>
      <c r="E69" s="21">
        <v>-11000</v>
      </c>
      <c r="F69" s="21">
        <v>-2166</v>
      </c>
      <c r="G69" s="21">
        <v>297</v>
      </c>
      <c r="H69" s="21">
        <v>-9648</v>
      </c>
      <c r="I69" s="21">
        <v>-19695</v>
      </c>
      <c r="J69" s="21">
        <v>-343023</v>
      </c>
      <c r="L69" s="2">
        <v>2017</v>
      </c>
      <c r="M69" s="20">
        <f>-(Table8[[#This Row],[7300 Fjarðabyggð]]+Table8[[#This Row],[7613 Breiðdalshreppur]])</f>
        <v>306618</v>
      </c>
      <c r="N69" s="20">
        <f>-(Table8[[#This Row],[7620 Fljótsdalshérað]]+Table8[[#This Row],[7617 Djúpavogshreppur]]+Table8[[#This Row],[7509 Borgarfjarðarhreppur]]+Table8[[#This Row],[7000 Seyðisfjörður]]+Table8[[#This Row],[7400 Múlaþing]])</f>
        <v>396696</v>
      </c>
      <c r="O69" s="20">
        <f>-(Table8[[#This Row],[7502 Vopnafjarðarhreppur]])</f>
        <v>11000</v>
      </c>
      <c r="P69" s="20">
        <f>-(Table8[[#This Row],[7505 Fljótsdalshreppur]])</f>
        <v>2166</v>
      </c>
    </row>
    <row r="70" spans="1:16">
      <c r="A70" s="2">
        <v>2018</v>
      </c>
      <c r="B70" s="21">
        <v>-46295</v>
      </c>
      <c r="C70" s="21">
        <v>-364700</v>
      </c>
      <c r="E70" s="21">
        <v>-21023</v>
      </c>
      <c r="F70" s="21">
        <v>6063</v>
      </c>
      <c r="G70" s="21">
        <v>-2189</v>
      </c>
      <c r="I70" s="21">
        <v>-21275</v>
      </c>
      <c r="J70" s="21">
        <v>-448076</v>
      </c>
      <c r="L70" s="2">
        <v>2018</v>
      </c>
      <c r="M70" s="20">
        <f>-(Table8[[#This Row],[7300 Fjarðabyggð]]+Table8[[#This Row],[7613 Breiðdalshreppur]])</f>
        <v>364700</v>
      </c>
      <c r="N70" s="20">
        <f>-(Table8[[#This Row],[7620 Fljótsdalshérað]]+Table8[[#This Row],[7617 Djúpavogshreppur]]+Table8[[#This Row],[7509 Borgarfjarðarhreppur]]+Table8[[#This Row],[7000 Seyðisfjörður]]+Table8[[#This Row],[7400 Múlaþing]])</f>
        <v>517835</v>
      </c>
      <c r="O70" s="20">
        <f>-(Table8[[#This Row],[7502 Vopnafjarðarhreppur]])</f>
        <v>21023</v>
      </c>
      <c r="P70" s="20">
        <f>-(Table8[[#This Row],[7505 Fljótsdalshreppur]])</f>
        <v>-6063</v>
      </c>
    </row>
    <row r="71" spans="1:16">
      <c r="A71" s="2">
        <v>2019</v>
      </c>
      <c r="B71" s="21">
        <v>-37594</v>
      </c>
      <c r="C71" s="21">
        <v>-333963</v>
      </c>
      <c r="E71" s="21">
        <v>-15583</v>
      </c>
      <c r="F71" s="21">
        <v>6682</v>
      </c>
      <c r="G71" s="21">
        <v>-1448</v>
      </c>
      <c r="I71" s="21">
        <v>-18107</v>
      </c>
      <c r="J71" s="21">
        <v>-388100</v>
      </c>
      <c r="L71" s="2">
        <v>2019</v>
      </c>
      <c r="M71" s="20">
        <f>-(Table8[[#This Row],[7300 Fjarðabyggð]]+Table8[[#This Row],[7613 Breiðdalshreppur]])</f>
        <v>333963</v>
      </c>
      <c r="N71" s="20">
        <f>-(Table8[[#This Row],[7620 Fljótsdalshérað]]+Table8[[#This Row],[7617 Djúpavogshreppur]]+Table8[[#This Row],[7509 Borgarfjarðarhreppur]]+Table8[[#This Row],[7000 Seyðisfjörður]]+Table8[[#This Row],[7400 Múlaþing]])</f>
        <v>445249</v>
      </c>
      <c r="O71" s="20">
        <f>-(Table8[[#This Row],[7502 Vopnafjarðarhreppur]])</f>
        <v>15583</v>
      </c>
      <c r="P71" s="20">
        <f>-(Table8[[#This Row],[7505 Fljótsdalshreppur]])</f>
        <v>-6682</v>
      </c>
    </row>
    <row r="72" spans="1:16">
      <c r="A72" s="2">
        <v>2020</v>
      </c>
      <c r="C72" s="21">
        <v>-385763</v>
      </c>
      <c r="D72" s="21">
        <v>-487941</v>
      </c>
      <c r="E72" s="21">
        <v>-32611</v>
      </c>
      <c r="F72" s="21">
        <v>2069</v>
      </c>
      <c r="L72" s="2">
        <v>2020</v>
      </c>
      <c r="M72" s="20">
        <f>-(Table8[[#This Row],[7300 Fjarðabyggð]]+Table8[[#This Row],[7613 Breiðdalshreppur]])</f>
        <v>385763</v>
      </c>
      <c r="N72" s="20">
        <f>-(Table8[[#This Row],[7620 Fljótsdalshérað]]+Table8[[#This Row],[7617 Djúpavogshreppur]]+Table8[[#This Row],[7509 Borgarfjarðarhreppur]]+Table8[[#This Row],[7000 Seyðisfjörður]]+Table8[[#This Row],[7400 Múlaþing]])</f>
        <v>487941</v>
      </c>
      <c r="O72" s="20">
        <f>-(Table8[[#This Row],[7502 Vopnafjarðarhreppur]])</f>
        <v>32611</v>
      </c>
      <c r="P72" s="20">
        <f>-(Table8[[#This Row],[7505 Fljótsdalshreppur]])</f>
        <v>-2069</v>
      </c>
    </row>
    <row r="73" spans="1:16">
      <c r="A73" s="2">
        <v>2021</v>
      </c>
      <c r="C73" s="21">
        <v>-377886</v>
      </c>
      <c r="D73" s="21">
        <v>-465632</v>
      </c>
      <c r="E73" s="21">
        <v>-45933</v>
      </c>
      <c r="F73" s="21">
        <v>1639</v>
      </c>
      <c r="L73" s="2">
        <v>2021</v>
      </c>
      <c r="M73" s="20">
        <f>-(Table8[[#This Row],[7300 Fjarðabyggð]]+Table8[[#This Row],[7613 Breiðdalshreppur]])</f>
        <v>377886</v>
      </c>
      <c r="N73" s="20">
        <f>-(Table8[[#This Row],[7620 Fljótsdalshérað]]+Table8[[#This Row],[7617 Djúpavogshreppur]]+Table8[[#This Row],[7509 Borgarfjarðarhreppur]]+Table8[[#This Row],[7000 Seyðisfjörður]]+Table8[[#This Row],[7400 Múlaþing]])</f>
        <v>465632</v>
      </c>
      <c r="O73" s="20">
        <f>-(Table8[[#This Row],[7502 Vopnafjarðarhreppur]])</f>
        <v>45933</v>
      </c>
      <c r="P73" s="20">
        <f>-(Table8[[#This Row],[7505 Fljótsdalshreppur]])</f>
        <v>-1639</v>
      </c>
    </row>
    <row r="74" spans="1:16">
      <c r="A74" s="63">
        <v>2022</v>
      </c>
      <c r="B74" s="65"/>
      <c r="C74" s="66">
        <v>-602795</v>
      </c>
      <c r="D74" s="66">
        <v>-849213</v>
      </c>
      <c r="E74" s="66">
        <v>-69905</v>
      </c>
      <c r="F74" s="66">
        <v>4113</v>
      </c>
      <c r="G74" s="65"/>
      <c r="H74" s="65"/>
      <c r="I74" s="65"/>
      <c r="J74" s="65"/>
      <c r="L74" s="63">
        <v>2022</v>
      </c>
      <c r="M74" s="64">
        <f>-(Table8[[#This Row],[7300 Fjarðabyggð]]+Table8[[#This Row],[7613 Breiðdalshreppur]])</f>
        <v>602795</v>
      </c>
      <c r="N74" s="64">
        <f>-(Table8[[#This Row],[7620 Fljótsdalshérað]]+Table8[[#This Row],[7617 Djúpavogshreppur]]+Table8[[#This Row],[7509 Borgarfjarðarhreppur]]+Table8[[#This Row],[7000 Seyðisfjörður]]+Table8[[#This Row],[7400 Múlaþing]])</f>
        <v>849213</v>
      </c>
      <c r="O74" s="64">
        <f>-(Table8[[#This Row],[7502 Vopnafjarðarhreppur]])</f>
        <v>69905</v>
      </c>
      <c r="P74" s="64">
        <f>-(Table8[[#This Row],[7505 Fljótsdalshreppur]])</f>
        <v>-4113</v>
      </c>
    </row>
    <row r="75" spans="1:16">
      <c r="A75" s="2"/>
      <c r="C75" s="21"/>
      <c r="D75" s="21"/>
      <c r="E75" s="21"/>
      <c r="F75" s="21"/>
      <c r="L75" s="2"/>
      <c r="M75" s="20"/>
      <c r="N75" s="20"/>
      <c r="O75" s="20"/>
      <c r="P75" s="20"/>
    </row>
    <row r="76" spans="1:16">
      <c r="L76" s="2" t="s">
        <v>11</v>
      </c>
      <c r="M76" t="s">
        <v>16</v>
      </c>
      <c r="N76" t="s">
        <v>16</v>
      </c>
    </row>
    <row r="77" spans="1:16">
      <c r="A77" t="s">
        <v>11</v>
      </c>
      <c r="B77" t="s">
        <v>0</v>
      </c>
      <c r="C77" t="s">
        <v>1</v>
      </c>
      <c r="D77" t="s">
        <v>15</v>
      </c>
      <c r="E77" t="s">
        <v>3</v>
      </c>
      <c r="F77" t="s">
        <v>4</v>
      </c>
      <c r="G77" t="s">
        <v>5</v>
      </c>
      <c r="H77" t="s">
        <v>6</v>
      </c>
      <c r="I77" t="s">
        <v>7</v>
      </c>
      <c r="J77" t="s">
        <v>8</v>
      </c>
      <c r="L77" t="s">
        <v>18</v>
      </c>
      <c r="M77" t="s">
        <v>1</v>
      </c>
      <c r="N77" t="s">
        <v>15</v>
      </c>
      <c r="O77" t="s">
        <v>3</v>
      </c>
      <c r="P77" t="s">
        <v>4</v>
      </c>
    </row>
    <row r="78" spans="1:16">
      <c r="A78" s="2">
        <v>2002</v>
      </c>
      <c r="B78" s="20">
        <v>0</v>
      </c>
      <c r="C78" s="20">
        <v>0</v>
      </c>
      <c r="D78" s="20"/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-793</v>
      </c>
      <c r="L78" s="2">
        <v>2002</v>
      </c>
      <c r="M78" s="20">
        <f>-(Table9[[#This Row],[7300 Fjarðabyggð]]+Table9[[#This Row],[7613 Breiðdalshreppur]])</f>
        <v>0</v>
      </c>
      <c r="N78" s="20">
        <f>-(Table9[[#This Row],[7000 Seyðisfjörður]]+Table9[[#This Row],[7400 Múlaþing]]+Table9[[#This Row],[7509 Borgarfjarðarhreppur]]+Table9[[#This Row],[7617 Djúpavogshreppur]]+Table9[[#This Row],[7620 Fljótsdalshérað]])</f>
        <v>793</v>
      </c>
      <c r="O78" s="20">
        <f>-(Table9[[#This Row],[7502 Vopnafjarðarhreppur]])</f>
        <v>0</v>
      </c>
      <c r="P78" s="20">
        <f>-(Table9[[#This Row],[7505 Fljótsdalshreppur]])</f>
        <v>0</v>
      </c>
    </row>
    <row r="79" spans="1:16">
      <c r="A79" s="2">
        <v>2003</v>
      </c>
      <c r="B79" s="20">
        <v>0</v>
      </c>
      <c r="C79" s="20">
        <v>-52628</v>
      </c>
      <c r="D79" s="20"/>
      <c r="E79" s="20">
        <v>-1429</v>
      </c>
      <c r="F79" s="20">
        <v>-212</v>
      </c>
      <c r="G79" s="20">
        <v>0</v>
      </c>
      <c r="H79" s="20">
        <v>0</v>
      </c>
      <c r="I79" s="20">
        <v>0</v>
      </c>
      <c r="J79" s="20">
        <v>1417</v>
      </c>
      <c r="L79" s="2">
        <v>2003</v>
      </c>
      <c r="M79" s="20">
        <f>-(Table9[[#This Row],[7300 Fjarðabyggð]]+Table9[[#This Row],[7613 Breiðdalshreppur]])</f>
        <v>52628</v>
      </c>
      <c r="N79" s="20">
        <f>-(Table9[[#This Row],[7000 Seyðisfjörður]]+Table9[[#This Row],[7400 Múlaþing]]+Table9[[#This Row],[7509 Borgarfjarðarhreppur]]+Table9[[#This Row],[7617 Djúpavogshreppur]]+Table9[[#This Row],[7620 Fljótsdalshérað]])</f>
        <v>-1417</v>
      </c>
      <c r="O79" s="20">
        <f>-(Table9[[#This Row],[7502 Vopnafjarðarhreppur]])</f>
        <v>1429</v>
      </c>
      <c r="P79" s="20">
        <f>-(Table9[[#This Row],[7505 Fljótsdalshreppur]])</f>
        <v>212</v>
      </c>
    </row>
    <row r="80" spans="1:16">
      <c r="A80" s="2">
        <v>2004</v>
      </c>
      <c r="B80" s="20">
        <v>0</v>
      </c>
      <c r="C80" s="20">
        <v>0</v>
      </c>
      <c r="D80" s="20"/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-9695</v>
      </c>
      <c r="L80" s="2">
        <v>2004</v>
      </c>
      <c r="M80" s="20">
        <f>-(Table9[[#This Row],[7300 Fjarðabyggð]]+Table9[[#This Row],[7613 Breiðdalshreppur]])</f>
        <v>0</v>
      </c>
      <c r="N80" s="20">
        <f>-(Table9[[#This Row],[7000 Seyðisfjörður]]+Table9[[#This Row],[7400 Múlaþing]]+Table9[[#This Row],[7509 Borgarfjarðarhreppur]]+Table9[[#This Row],[7617 Djúpavogshreppur]]+Table9[[#This Row],[7620 Fljótsdalshérað]])</f>
        <v>9695</v>
      </c>
      <c r="O80" s="20">
        <f>-(Table9[[#This Row],[7502 Vopnafjarðarhreppur]])</f>
        <v>0</v>
      </c>
      <c r="P80" s="20">
        <f>-(Table9[[#This Row],[7505 Fljótsdalshreppur]])</f>
        <v>0</v>
      </c>
    </row>
    <row r="81" spans="1:16">
      <c r="A81" s="2">
        <v>2005</v>
      </c>
      <c r="B81" s="20">
        <v>0</v>
      </c>
      <c r="C81" s="20">
        <v>0</v>
      </c>
      <c r="D81" s="20"/>
      <c r="E81" s="20">
        <v>0</v>
      </c>
      <c r="F81" s="20">
        <v>-5047</v>
      </c>
      <c r="G81" s="20">
        <v>0</v>
      </c>
      <c r="H81" s="20">
        <v>0</v>
      </c>
      <c r="I81" s="20">
        <v>0</v>
      </c>
      <c r="J81" s="20">
        <v>0</v>
      </c>
      <c r="L81" s="2">
        <v>2005</v>
      </c>
      <c r="M81" s="20">
        <f>-(Table9[[#This Row],[7300 Fjarðabyggð]]+Table9[[#This Row],[7613 Breiðdalshreppur]])</f>
        <v>0</v>
      </c>
      <c r="N81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81" s="20">
        <f>-(Table9[[#This Row],[7502 Vopnafjarðarhreppur]])</f>
        <v>0</v>
      </c>
      <c r="P81" s="20">
        <f>-(Table9[[#This Row],[7505 Fljótsdalshreppur]])</f>
        <v>5047</v>
      </c>
    </row>
    <row r="82" spans="1:16">
      <c r="A82" s="2">
        <v>2006</v>
      </c>
      <c r="B82" s="20">
        <v>0</v>
      </c>
      <c r="C82" s="20">
        <v>8232</v>
      </c>
      <c r="D82" s="20"/>
      <c r="E82" s="20">
        <v>-60</v>
      </c>
      <c r="F82" s="20">
        <v>-5621</v>
      </c>
      <c r="G82" s="20">
        <v>0</v>
      </c>
      <c r="H82" s="20">
        <v>0</v>
      </c>
      <c r="I82" s="20">
        <v>0</v>
      </c>
      <c r="J82" s="20">
        <v>0</v>
      </c>
      <c r="L82" s="2">
        <v>2006</v>
      </c>
      <c r="M82" s="20">
        <f>-(Table9[[#This Row],[7300 Fjarðabyggð]]+Table9[[#This Row],[7613 Breiðdalshreppur]])</f>
        <v>-8232</v>
      </c>
      <c r="N82" s="20">
        <f>-(Table9[[#This Row],[7000 Seyðisfjörður]]+Table9[[#This Row],[7400 Múlaþing]]+Table9[[#This Row],[7509 Borgarfjarðarhreppur]]+Table9[[#This Row],[7617 Djúpavogshreppur]]+Table9[[#This Row],[7620 Fljótsdalshérað]])</f>
        <v>0</v>
      </c>
      <c r="O82" s="20">
        <f>-(Table9[[#This Row],[7502 Vopnafjarðarhreppur]])</f>
        <v>60</v>
      </c>
      <c r="P82" s="20">
        <f>-(Table9[[#This Row],[7505 Fljótsdalshreppur]])</f>
        <v>5621</v>
      </c>
    </row>
    <row r="83" spans="1:16">
      <c r="A83" s="2">
        <v>2007</v>
      </c>
      <c r="B83" s="20">
        <v>-25988</v>
      </c>
      <c r="C83" s="20">
        <v>-2318</v>
      </c>
      <c r="D83" s="20"/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L83" s="2">
        <v>2007</v>
      </c>
      <c r="M83" s="20">
        <f>-(Table9[[#This Row],[7300 Fjarðabyggð]]+Table9[[#This Row],[7613 Breiðdalshreppur]])</f>
        <v>2318</v>
      </c>
      <c r="N83" s="20">
        <f>-(Table9[[#This Row],[7000 Seyðisfjörður]]+Table9[[#This Row],[7400 Múlaþing]]+Table9[[#This Row],[7509 Borgarfjarðarhreppur]]+Table9[[#This Row],[7617 Djúpavogshreppur]]+Table9[[#This Row],[7620 Fljótsdalshérað]])</f>
        <v>25988</v>
      </c>
      <c r="O83" s="20">
        <f>-(Table9[[#This Row],[7502 Vopnafjarðarhreppur]])</f>
        <v>0</v>
      </c>
      <c r="P83" s="20">
        <f>-(Table9[[#This Row],[7505 Fljótsdalshreppur]])</f>
        <v>0</v>
      </c>
    </row>
    <row r="84" spans="1:16">
      <c r="A84" s="2">
        <v>2008</v>
      </c>
      <c r="B84" s="20">
        <v>0</v>
      </c>
      <c r="C84" s="20">
        <v>-2536</v>
      </c>
      <c r="D84" s="20"/>
      <c r="E84" s="20">
        <v>0</v>
      </c>
      <c r="F84" s="20">
        <v>-1550</v>
      </c>
      <c r="G84" s="20">
        <v>0</v>
      </c>
      <c r="H84" s="20">
        <v>0</v>
      </c>
      <c r="I84" s="20">
        <v>0</v>
      </c>
      <c r="J84" s="20">
        <v>-5690</v>
      </c>
      <c r="L84" s="2">
        <v>2008</v>
      </c>
      <c r="M84" s="20">
        <f>-(Table9[[#This Row],[7300 Fjarðabyggð]]+Table9[[#This Row],[7613 Breiðdalshreppur]])</f>
        <v>2536</v>
      </c>
      <c r="N84" s="20">
        <f>-(Table9[[#This Row],[7000 Seyðisfjörður]]+Table9[[#This Row],[7400 Múlaþing]]+Table9[[#This Row],[7509 Borgarfjarðarhreppur]]+Table9[[#This Row],[7617 Djúpavogshreppur]]+Table9[[#This Row],[7620 Fljótsdalshérað]])</f>
        <v>5690</v>
      </c>
      <c r="O84" s="20">
        <f>-(Table9[[#This Row],[7502 Vopnafjarðarhreppur]])</f>
        <v>0</v>
      </c>
      <c r="P84" s="20">
        <f>-(Table9[[#This Row],[7505 Fljótsdalshreppur]])</f>
        <v>1550</v>
      </c>
    </row>
    <row r="85" spans="1:16">
      <c r="A85" s="2">
        <v>2009</v>
      </c>
      <c r="B85" s="20">
        <v>0</v>
      </c>
      <c r="C85" s="20">
        <v>1686</v>
      </c>
      <c r="D85" s="20"/>
      <c r="E85" s="20">
        <v>0</v>
      </c>
      <c r="F85" s="20">
        <v>-3308</v>
      </c>
      <c r="G85" s="20">
        <v>0</v>
      </c>
      <c r="H85" s="20">
        <v>0</v>
      </c>
      <c r="I85" s="20">
        <v>0</v>
      </c>
      <c r="J85" s="20">
        <v>7838</v>
      </c>
      <c r="L85" s="2">
        <v>2009</v>
      </c>
      <c r="M85" s="20">
        <f>-(Table9[[#This Row],[7300 Fjarðabyggð]]+Table9[[#This Row],[7613 Breiðdalshreppur]])</f>
        <v>-1686</v>
      </c>
      <c r="N85" s="20">
        <f>-(Table9[[#This Row],[7000 Seyðisfjörður]]+Table9[[#This Row],[7400 Múlaþing]]+Table9[[#This Row],[7509 Borgarfjarðarhreppur]]+Table9[[#This Row],[7617 Djúpavogshreppur]]+Table9[[#This Row],[7620 Fljótsdalshérað]])</f>
        <v>-7838</v>
      </c>
      <c r="O85" s="20">
        <f>-(Table9[[#This Row],[7502 Vopnafjarðarhreppur]])</f>
        <v>0</v>
      </c>
      <c r="P85" s="20">
        <f>-(Table9[[#This Row],[7505 Fljótsdalshreppur]])</f>
        <v>3308</v>
      </c>
    </row>
    <row r="86" spans="1:16">
      <c r="A86" s="2">
        <v>2010</v>
      </c>
      <c r="B86" s="20">
        <v>0</v>
      </c>
      <c r="C86" s="20">
        <v>39994</v>
      </c>
      <c r="D86" s="20"/>
      <c r="E86" s="20">
        <v>0</v>
      </c>
      <c r="F86" s="20">
        <v>-4506</v>
      </c>
      <c r="G86" s="20">
        <v>0</v>
      </c>
      <c r="H86" s="20">
        <v>0</v>
      </c>
      <c r="I86" s="20">
        <v>0</v>
      </c>
      <c r="J86" s="20">
        <v>-922</v>
      </c>
      <c r="L86" s="2">
        <v>2010</v>
      </c>
      <c r="M86" s="20">
        <f>-(Table9[[#This Row],[7300 Fjarðabyggð]]+Table9[[#This Row],[7613 Breiðdalshreppur]])</f>
        <v>-39994</v>
      </c>
      <c r="N86" s="20">
        <f>-(Table9[[#This Row],[7000 Seyðisfjörður]]+Table9[[#This Row],[7400 Múlaþing]]+Table9[[#This Row],[7509 Borgarfjarðarhreppur]]+Table9[[#This Row],[7617 Djúpavogshreppur]]+Table9[[#This Row],[7620 Fljótsdalshérað]])</f>
        <v>922</v>
      </c>
      <c r="O86" s="20">
        <f>-(Table9[[#This Row],[7502 Vopnafjarðarhreppur]])</f>
        <v>0</v>
      </c>
      <c r="P86" s="20">
        <f>-(Table9[[#This Row],[7505 Fljótsdalshreppur]])</f>
        <v>4506</v>
      </c>
    </row>
    <row r="87" spans="1:16">
      <c r="A87" s="2">
        <v>2011</v>
      </c>
      <c r="B87" s="20">
        <v>0</v>
      </c>
      <c r="C87" s="20">
        <v>-3904</v>
      </c>
      <c r="D87" s="20"/>
      <c r="E87" s="20">
        <v>0</v>
      </c>
      <c r="F87" s="20">
        <v>0</v>
      </c>
      <c r="G87" s="20">
        <v>0</v>
      </c>
      <c r="H87" s="20">
        <v>0</v>
      </c>
      <c r="I87" s="20">
        <v>259</v>
      </c>
      <c r="J87" s="20">
        <v>48518</v>
      </c>
      <c r="L87" s="2">
        <v>2011</v>
      </c>
      <c r="M87" s="20">
        <f>-(Table9[[#This Row],[7300 Fjarðabyggð]]+Table9[[#This Row],[7613 Breiðdalshreppur]])</f>
        <v>3904</v>
      </c>
      <c r="N87" s="20">
        <f>-(Table9[[#This Row],[7000 Seyðisfjörður]]+Table9[[#This Row],[7400 Múlaþing]]+Table9[[#This Row],[7509 Borgarfjarðarhreppur]]+Table9[[#This Row],[7617 Djúpavogshreppur]]+Table9[[#This Row],[7620 Fljótsdalshérað]])</f>
        <v>-48777</v>
      </c>
      <c r="O87" s="20">
        <f>-(Table9[[#This Row],[7502 Vopnafjarðarhreppur]])</f>
        <v>0</v>
      </c>
      <c r="P87" s="20">
        <f>-(Table9[[#This Row],[7505 Fljótsdalshreppur]])</f>
        <v>0</v>
      </c>
    </row>
    <row r="88" spans="1:16">
      <c r="A88" s="2">
        <v>2012</v>
      </c>
      <c r="B88" s="20">
        <v>0</v>
      </c>
      <c r="C88" s="20">
        <v>-10832</v>
      </c>
      <c r="D88" s="20"/>
      <c r="E88" s="20">
        <v>0</v>
      </c>
      <c r="F88" s="20">
        <v>0</v>
      </c>
      <c r="G88" s="20">
        <v>0</v>
      </c>
      <c r="H88" s="20">
        <v>0</v>
      </c>
      <c r="I88" s="20">
        <v>288</v>
      </c>
      <c r="J88" s="20">
        <v>-138</v>
      </c>
      <c r="L88" s="2">
        <v>2012</v>
      </c>
      <c r="M88" s="20">
        <f>-(Table9[[#This Row],[7300 Fjarðabyggð]]+Table9[[#This Row],[7613 Breiðdalshreppur]])</f>
        <v>10832</v>
      </c>
      <c r="N88" s="20">
        <f>-(Table9[[#This Row],[7000 Seyðisfjörður]]+Table9[[#This Row],[7400 Múlaþing]]+Table9[[#This Row],[7509 Borgarfjarðarhreppur]]+Table9[[#This Row],[7617 Djúpavogshreppur]]+Table9[[#This Row],[7620 Fljótsdalshérað]])</f>
        <v>-150</v>
      </c>
      <c r="O88" s="20">
        <f>-(Table9[[#This Row],[7502 Vopnafjarðarhreppur]])</f>
        <v>0</v>
      </c>
      <c r="P88" s="20">
        <f>-(Table9[[#This Row],[7505 Fljótsdalshreppur]])</f>
        <v>0</v>
      </c>
    </row>
    <row r="89" spans="1:16">
      <c r="A89" s="2">
        <v>2013</v>
      </c>
      <c r="B89" s="20">
        <v>0</v>
      </c>
      <c r="C89" s="20">
        <v>-17601</v>
      </c>
      <c r="D89" s="20"/>
      <c r="E89" s="20">
        <v>0</v>
      </c>
      <c r="F89" s="20">
        <v>0</v>
      </c>
      <c r="G89" s="20">
        <v>0</v>
      </c>
      <c r="H89" s="20">
        <v>0</v>
      </c>
      <c r="I89" s="20">
        <v>197</v>
      </c>
      <c r="J89" s="20">
        <v>-68642</v>
      </c>
      <c r="L89" s="2">
        <v>2013</v>
      </c>
      <c r="M89" s="20">
        <f>-(Table9[[#This Row],[7300 Fjarðabyggð]]+Table9[[#This Row],[7613 Breiðdalshreppur]])</f>
        <v>17601</v>
      </c>
      <c r="N89" s="20">
        <f>-(Table9[[#This Row],[7000 Seyðisfjörður]]+Table9[[#This Row],[7400 Múlaþing]]+Table9[[#This Row],[7509 Borgarfjarðarhreppur]]+Table9[[#This Row],[7617 Djúpavogshreppur]]+Table9[[#This Row],[7620 Fljótsdalshérað]])</f>
        <v>68445</v>
      </c>
      <c r="O89" s="20">
        <f>-(Table9[[#This Row],[7502 Vopnafjarðarhreppur]])</f>
        <v>0</v>
      </c>
      <c r="P89" s="20">
        <f>-(Table9[[#This Row],[7505 Fljótsdalshreppur]])</f>
        <v>0</v>
      </c>
    </row>
    <row r="90" spans="1:16">
      <c r="A90" s="2">
        <v>2014</v>
      </c>
      <c r="B90" s="20">
        <v>0</v>
      </c>
      <c r="C90" s="20">
        <v>-9242</v>
      </c>
      <c r="D90" s="20"/>
      <c r="E90" s="20">
        <v>0</v>
      </c>
      <c r="F90" s="20">
        <v>0</v>
      </c>
      <c r="G90" s="20">
        <v>0</v>
      </c>
      <c r="H90" s="20">
        <v>0</v>
      </c>
      <c r="I90" s="20">
        <v>218</v>
      </c>
      <c r="J90" s="20">
        <v>9973</v>
      </c>
      <c r="L90" s="2">
        <v>2014</v>
      </c>
      <c r="M90" s="20">
        <f>-(Table9[[#This Row],[7300 Fjarðabyggð]]+Table9[[#This Row],[7613 Breiðdalshreppur]])</f>
        <v>9242</v>
      </c>
      <c r="N90" s="20">
        <f>-(Table9[[#This Row],[7000 Seyðisfjörður]]+Table9[[#This Row],[7400 Múlaþing]]+Table9[[#This Row],[7509 Borgarfjarðarhreppur]]+Table9[[#This Row],[7617 Djúpavogshreppur]]+Table9[[#This Row],[7620 Fljótsdalshérað]])</f>
        <v>-10191</v>
      </c>
      <c r="O90" s="20">
        <f>-(Table9[[#This Row],[7502 Vopnafjarðarhreppur]])</f>
        <v>0</v>
      </c>
      <c r="P90" s="20">
        <f>-(Table9[[#This Row],[7505 Fljótsdalshreppur]])</f>
        <v>0</v>
      </c>
    </row>
    <row r="91" spans="1:16">
      <c r="A91" s="2">
        <v>2015</v>
      </c>
      <c r="B91" s="20">
        <v>0</v>
      </c>
      <c r="C91" s="20">
        <v>20377</v>
      </c>
      <c r="D91" s="20"/>
      <c r="E91" s="20">
        <v>0</v>
      </c>
      <c r="F91" s="20">
        <v>0</v>
      </c>
      <c r="G91" s="20">
        <v>0</v>
      </c>
      <c r="H91" s="20">
        <v>0</v>
      </c>
      <c r="I91" s="20">
        <v>160</v>
      </c>
      <c r="J91" s="20">
        <v>-8802</v>
      </c>
      <c r="L91" s="2">
        <v>2015</v>
      </c>
      <c r="M91" s="20">
        <f>-(Table9[[#This Row],[7300 Fjarðabyggð]]+Table9[[#This Row],[7613 Breiðdalshreppur]])</f>
        <v>-20377</v>
      </c>
      <c r="N91" s="20">
        <f>-(Table9[[#This Row],[7000 Seyðisfjörður]]+Table9[[#This Row],[7400 Múlaþing]]+Table9[[#This Row],[7509 Borgarfjarðarhreppur]]+Table9[[#This Row],[7617 Djúpavogshreppur]]+Table9[[#This Row],[7620 Fljótsdalshérað]])</f>
        <v>8642</v>
      </c>
      <c r="O91" s="20">
        <f>-(Table9[[#This Row],[7502 Vopnafjarðarhreppur]])</f>
        <v>0</v>
      </c>
      <c r="P91" s="20">
        <f>-(Table9[[#This Row],[7505 Fljótsdalshreppur]])</f>
        <v>0</v>
      </c>
    </row>
    <row r="92" spans="1:16">
      <c r="A92" s="2">
        <v>2016</v>
      </c>
      <c r="B92" s="20">
        <v>0</v>
      </c>
      <c r="C92" s="20">
        <v>18100</v>
      </c>
      <c r="D92" s="20"/>
      <c r="E92" s="20">
        <v>0</v>
      </c>
      <c r="F92" s="20">
        <v>0</v>
      </c>
      <c r="G92" s="20">
        <v>0</v>
      </c>
      <c r="H92" s="20">
        <v>0</v>
      </c>
      <c r="I92" s="20">
        <v>164</v>
      </c>
      <c r="J92" s="20">
        <v>-29691</v>
      </c>
      <c r="L92" s="2">
        <v>2016</v>
      </c>
      <c r="M92" s="20">
        <f>-(Table9[[#This Row],[7300 Fjarðabyggð]]+Table9[[#This Row],[7613 Breiðdalshreppur]])</f>
        <v>-18100</v>
      </c>
      <c r="N92" s="20">
        <f>-(Table9[[#This Row],[7000 Seyðisfjörður]]+Table9[[#This Row],[7400 Múlaþing]]+Table9[[#This Row],[7509 Borgarfjarðarhreppur]]+Table9[[#This Row],[7617 Djúpavogshreppur]]+Table9[[#This Row],[7620 Fljótsdalshérað]])</f>
        <v>29527</v>
      </c>
      <c r="O92" s="20">
        <f>-(Table9[[#This Row],[7502 Vopnafjarðarhreppur]])</f>
        <v>0</v>
      </c>
      <c r="P92" s="20">
        <f>-(Table9[[#This Row],[7505 Fljótsdalshreppur]])</f>
        <v>0</v>
      </c>
    </row>
    <row r="93" spans="1:16">
      <c r="A93" s="2">
        <v>2017</v>
      </c>
      <c r="B93" s="20">
        <v>0</v>
      </c>
      <c r="C93" s="20">
        <v>-248</v>
      </c>
      <c r="D93" s="20"/>
      <c r="E93" s="20">
        <v>0</v>
      </c>
      <c r="F93" s="20">
        <v>0</v>
      </c>
      <c r="G93" s="20">
        <v>0</v>
      </c>
      <c r="H93" s="20">
        <v>0</v>
      </c>
      <c r="I93" s="20">
        <v>160</v>
      </c>
      <c r="J93" s="20">
        <v>-11127</v>
      </c>
      <c r="L93" s="2">
        <v>2017</v>
      </c>
      <c r="M93" s="20">
        <f>-(Table9[[#This Row],[7300 Fjarðabyggð]]+Table9[[#This Row],[7613 Breiðdalshreppur]])</f>
        <v>248</v>
      </c>
      <c r="N93" s="20">
        <f>-(Table9[[#This Row],[7000 Seyðisfjörður]]+Table9[[#This Row],[7400 Múlaþing]]+Table9[[#This Row],[7509 Borgarfjarðarhreppur]]+Table9[[#This Row],[7617 Djúpavogshreppur]]+Table9[[#This Row],[7620 Fljótsdalshérað]])</f>
        <v>10967</v>
      </c>
      <c r="O93" s="20">
        <f>-(Table9[[#This Row],[7502 Vopnafjarðarhreppur]])</f>
        <v>0</v>
      </c>
      <c r="P93" s="20">
        <f>-(Table9[[#This Row],[7505 Fljótsdalshreppur]])</f>
        <v>0</v>
      </c>
    </row>
    <row r="94" spans="1:16">
      <c r="A94" s="2">
        <v>2018</v>
      </c>
      <c r="B94" s="20">
        <v>0</v>
      </c>
      <c r="C94" s="20">
        <v>9101</v>
      </c>
      <c r="D94" s="20"/>
      <c r="E94" s="20">
        <v>0</v>
      </c>
      <c r="F94" s="20">
        <v>0</v>
      </c>
      <c r="G94" s="20">
        <v>0</v>
      </c>
      <c r="H94" s="20"/>
      <c r="I94" s="20">
        <v>74</v>
      </c>
      <c r="J94" s="20">
        <v>-16174</v>
      </c>
      <c r="L94" s="2">
        <v>2018</v>
      </c>
      <c r="M94" s="20">
        <f>-(Table9[[#This Row],[7300 Fjarðabyggð]]+Table9[[#This Row],[7613 Breiðdalshreppur]])</f>
        <v>-9101</v>
      </c>
      <c r="N94" s="20">
        <f>-(Table9[[#This Row],[7000 Seyðisfjörður]]+Table9[[#This Row],[7400 Múlaþing]]+Table9[[#This Row],[7509 Borgarfjarðarhreppur]]+Table9[[#This Row],[7617 Djúpavogshreppur]]+Table9[[#This Row],[7620 Fljótsdalshérað]])</f>
        <v>16100</v>
      </c>
      <c r="O94" s="20">
        <f>-(Table9[[#This Row],[7502 Vopnafjarðarhreppur]])</f>
        <v>0</v>
      </c>
      <c r="P94" s="20">
        <f>-(Table9[[#This Row],[7505 Fljótsdalshreppur]])</f>
        <v>0</v>
      </c>
    </row>
    <row r="95" spans="1:16">
      <c r="A95" s="2">
        <v>2019</v>
      </c>
      <c r="B95" s="20">
        <v>0</v>
      </c>
      <c r="C95" s="20">
        <v>-3</v>
      </c>
      <c r="D95" s="20"/>
      <c r="E95" s="20">
        <v>0</v>
      </c>
      <c r="F95" s="20">
        <v>0</v>
      </c>
      <c r="G95" s="20">
        <v>0</v>
      </c>
      <c r="H95" s="20"/>
      <c r="I95" s="20">
        <v>160</v>
      </c>
      <c r="J95" s="20">
        <v>-14232</v>
      </c>
      <c r="L95" s="2">
        <v>2019</v>
      </c>
      <c r="M95" s="20">
        <f>-(Table9[[#This Row],[7300 Fjarðabyggð]]+Table9[[#This Row],[7613 Breiðdalshreppur]])</f>
        <v>3</v>
      </c>
      <c r="N95" s="20">
        <f>-(Table9[[#This Row],[7000 Seyðisfjörður]]+Table9[[#This Row],[7400 Múlaþing]]+Table9[[#This Row],[7509 Borgarfjarðarhreppur]]+Table9[[#This Row],[7617 Djúpavogshreppur]]+Table9[[#This Row],[7620 Fljótsdalshérað]])</f>
        <v>14072</v>
      </c>
      <c r="O95" s="20">
        <f>-(Table9[[#This Row],[7502 Vopnafjarðarhreppur]])</f>
        <v>0</v>
      </c>
      <c r="P95" s="20">
        <f>-(Table9[[#This Row],[7505 Fljótsdalshreppur]])</f>
        <v>0</v>
      </c>
    </row>
    <row r="96" spans="1:16">
      <c r="A96" s="2">
        <v>2020</v>
      </c>
      <c r="B96" s="20"/>
      <c r="C96" s="20">
        <v>-166970</v>
      </c>
      <c r="D96" s="20">
        <v>-15256</v>
      </c>
      <c r="E96" s="20">
        <v>8679</v>
      </c>
      <c r="F96" s="20">
        <v>0</v>
      </c>
      <c r="G96" s="20"/>
      <c r="H96" s="20"/>
      <c r="I96" s="20"/>
      <c r="J96" s="20"/>
      <c r="L96" s="2">
        <v>2020</v>
      </c>
      <c r="M96" s="20">
        <f>-(Table9[[#This Row],[7300 Fjarðabyggð]]+Table9[[#This Row],[7613 Breiðdalshreppur]])</f>
        <v>166970</v>
      </c>
      <c r="N96" s="20">
        <f>-(Table9[[#This Row],[7000 Seyðisfjörður]]+Table9[[#This Row],[7400 Múlaþing]]+Table9[[#This Row],[7509 Borgarfjarðarhreppur]]+Table9[[#This Row],[7617 Djúpavogshreppur]]+Table9[[#This Row],[7620 Fljótsdalshérað]])</f>
        <v>15256</v>
      </c>
      <c r="O96" s="20">
        <f>-(Table9[[#This Row],[7502 Vopnafjarðarhreppur]])</f>
        <v>-8679</v>
      </c>
      <c r="P96" s="20">
        <f>-(Table9[[#This Row],[7505 Fljótsdalshreppur]])</f>
        <v>0</v>
      </c>
    </row>
    <row r="97" spans="1:16">
      <c r="A97" s="2">
        <v>2021</v>
      </c>
      <c r="B97" s="20"/>
      <c r="C97" s="20">
        <v>-8689</v>
      </c>
      <c r="D97" s="20">
        <v>-27171</v>
      </c>
      <c r="E97" s="20">
        <v>-1185</v>
      </c>
      <c r="F97" s="20">
        <v>0</v>
      </c>
      <c r="G97" s="20"/>
      <c r="H97" s="20"/>
      <c r="I97" s="20"/>
      <c r="J97" s="20"/>
      <c r="L97" s="2">
        <v>2021</v>
      </c>
      <c r="M97" s="20">
        <f>-(Table9[[#This Row],[7300 Fjarðabyggð]]+Table9[[#This Row],[7613 Breiðdalshreppur]])</f>
        <v>8689</v>
      </c>
      <c r="N97" s="20">
        <f>-(Table9[[#This Row],[7000 Seyðisfjörður]]+Table9[[#This Row],[7400 Múlaþing]]+Table9[[#This Row],[7509 Borgarfjarðarhreppur]]+Table9[[#This Row],[7617 Djúpavogshreppur]]+Table9[[#This Row],[7620 Fljótsdalshérað]])</f>
        <v>27171</v>
      </c>
      <c r="O97" s="20">
        <f>-(Table9[[#This Row],[7502 Vopnafjarðarhreppur]])</f>
        <v>1185</v>
      </c>
      <c r="P97" s="20">
        <f>-(Table9[[#This Row],[7505 Fljótsdalshreppur]])</f>
        <v>0</v>
      </c>
    </row>
    <row r="98" spans="1:16">
      <c r="A98" s="63">
        <v>2022</v>
      </c>
      <c r="B98" s="67"/>
      <c r="C98" s="67">
        <v>5513</v>
      </c>
      <c r="D98" s="67">
        <v>-20335</v>
      </c>
      <c r="E98" s="67">
        <v>-4025</v>
      </c>
      <c r="F98" s="67"/>
      <c r="G98" s="67"/>
      <c r="H98" s="67"/>
      <c r="I98" s="67"/>
      <c r="J98" s="67"/>
      <c r="L98" s="63">
        <v>2022</v>
      </c>
      <c r="M98" s="64">
        <f>-(Table9[[#This Row],[7300 Fjarðabyggð]]+Table9[[#This Row],[7613 Breiðdalshreppur]])</f>
        <v>-5513</v>
      </c>
      <c r="N98" s="64">
        <f>-(Table9[[#This Row],[7000 Seyðisfjörður]]+Table9[[#This Row],[7400 Múlaþing]]+Table9[[#This Row],[7509 Borgarfjarðarhreppur]]+Table9[[#This Row],[7617 Djúpavogshreppur]]+Table9[[#This Row],[7620 Fljótsdalshérað]])</f>
        <v>20335</v>
      </c>
      <c r="O98" s="64">
        <f>-(Table9[[#This Row],[7502 Vopnafjarðarhreppur]])</f>
        <v>4025</v>
      </c>
      <c r="P98" s="64">
        <f>-(Table9[[#This Row],[7505 Fljótsdalshreppur]])</f>
        <v>0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7619-1467-44FD-A9A5-52AC6537BEA1}">
  <sheetPr>
    <tabColor theme="7" tint="0.59999389629810485"/>
    <pageSetUpPr fitToPage="1"/>
  </sheetPr>
  <dimension ref="A1:R214"/>
  <sheetViews>
    <sheetView topLeftCell="A182" workbookViewId="0">
      <selection activeCell="O214" sqref="O214:R214"/>
    </sheetView>
  </sheetViews>
  <sheetFormatPr defaultRowHeight="15"/>
  <cols>
    <col min="2" max="2" width="15.5703125" bestFit="1" customWidth="1"/>
    <col min="3" max="3" width="28.140625" bestFit="1" customWidth="1"/>
    <col min="4" max="4" width="17.28515625" bestFit="1" customWidth="1"/>
    <col min="5" max="5" width="26" customWidth="1"/>
    <col min="6" max="6" width="23.42578125" customWidth="1"/>
    <col min="7" max="7" width="5.42578125" customWidth="1"/>
    <col min="8" max="8" width="24.42578125" bestFit="1" customWidth="1"/>
    <col min="9" max="9" width="17.28515625" bestFit="1" customWidth="1"/>
    <col min="10" max="10" width="14.140625" bestFit="1" customWidth="1"/>
    <col min="11" max="11" width="27.140625" customWidth="1"/>
    <col min="12" max="12" width="27.42578125" customWidth="1"/>
    <col min="13" max="13" width="17.28515625" bestFit="1" customWidth="1"/>
    <col min="14" max="15" width="21.7109375" bestFit="1" customWidth="1"/>
    <col min="16" max="16" width="22.5703125" bestFit="1" customWidth="1"/>
    <col min="17" max="17" width="19.7109375" bestFit="1" customWidth="1"/>
  </cols>
  <sheetData>
    <row r="1" spans="1:12" ht="19.5" thickBot="1">
      <c r="A1" s="24"/>
      <c r="B1" s="59" t="s">
        <v>54</v>
      </c>
      <c r="C1" s="59"/>
      <c r="D1" s="59"/>
      <c r="E1" s="59"/>
      <c r="F1" s="59"/>
      <c r="G1" s="25"/>
      <c r="H1" s="59" t="s">
        <v>55</v>
      </c>
      <c r="I1" s="59"/>
      <c r="J1" s="59"/>
      <c r="K1" s="59"/>
      <c r="L1" s="59"/>
    </row>
    <row r="2" spans="1:12" ht="15.75" thickBot="1">
      <c r="B2" s="60" t="s">
        <v>20</v>
      </c>
      <c r="C2" s="61"/>
      <c r="D2" s="61"/>
      <c r="E2" s="61"/>
      <c r="F2" s="22" t="s">
        <v>21</v>
      </c>
      <c r="G2" s="38"/>
      <c r="H2" s="60" t="s">
        <v>22</v>
      </c>
      <c r="I2" s="61"/>
      <c r="J2" s="61"/>
      <c r="K2" s="61"/>
      <c r="L2" s="22" t="s">
        <v>23</v>
      </c>
    </row>
    <row r="3" spans="1:12" ht="18.75" thickBot="1">
      <c r="B3" s="56">
        <v>2002</v>
      </c>
      <c r="C3" s="57"/>
      <c r="D3" s="57"/>
      <c r="E3" s="57"/>
      <c r="F3" s="58"/>
      <c r="G3" s="39"/>
      <c r="H3" s="56">
        <v>2002</v>
      </c>
      <c r="I3" s="57"/>
      <c r="J3" s="57"/>
      <c r="K3" s="57"/>
      <c r="L3" s="58"/>
    </row>
    <row r="4" spans="1:12" ht="15.75" thickBot="1">
      <c r="B4" s="26"/>
      <c r="C4" s="23" t="s">
        <v>1</v>
      </c>
      <c r="D4" s="5" t="s">
        <v>15</v>
      </c>
      <c r="E4" s="5" t="s">
        <v>31</v>
      </c>
      <c r="F4" s="27" t="s">
        <v>4</v>
      </c>
      <c r="G4" s="40"/>
      <c r="H4" s="26"/>
      <c r="I4" s="23" t="s">
        <v>1</v>
      </c>
      <c r="J4" s="5" t="s">
        <v>15</v>
      </c>
      <c r="K4" s="5" t="s">
        <v>31</v>
      </c>
      <c r="L4" s="27" t="s">
        <v>4</v>
      </c>
    </row>
    <row r="5" spans="1:12">
      <c r="B5" s="28" t="s">
        <v>2</v>
      </c>
      <c r="C5" s="6">
        <f>_xlfn.XLOOKUP(B3,Table1[Ár],Table1[7300 Fjarðabyggð])</f>
        <v>-1977123</v>
      </c>
      <c r="D5" s="7">
        <f>_xlfn.XLOOKUP(B3,Table1[Ár],Table1[7400 Múlaþing])</f>
        <v>-1848993</v>
      </c>
      <c r="E5" s="7">
        <f>_xlfn.XLOOKUP(B3,Table1[Ár],Table1[7502 Vopnafjarðarhreppur])</f>
        <v>-320146</v>
      </c>
      <c r="F5" s="29">
        <f>_xlfn.XLOOKUP(B3,Table1[Ár],Table1[7505 Fljótsdalshreppur])</f>
        <v>-38530</v>
      </c>
      <c r="G5" s="19"/>
      <c r="H5" s="47" t="s">
        <v>24</v>
      </c>
      <c r="I5" s="6">
        <f>_xlfn.XLOOKUP(H3,Table1[Ár],Table1[7300 Fjarðabyggð])</f>
        <v>-1977123</v>
      </c>
      <c r="J5" s="7">
        <f>_xlfn.XLOOKUP(H3,Table1[Ár],Table1[7400 Múlaþing])</f>
        <v>-1848993</v>
      </c>
      <c r="K5" s="7">
        <f>_xlfn.XLOOKUP(H3,Table1[Ár],Table1[7502 Vopnafjarðarhreppur])</f>
        <v>-320146</v>
      </c>
      <c r="L5" s="29">
        <f>_xlfn.XLOOKUP(H3,Table1[Ár],Table1[7505 Fljótsdalshreppur])</f>
        <v>-38530</v>
      </c>
    </row>
    <row r="6" spans="1:12">
      <c r="B6" s="30" t="s">
        <v>9</v>
      </c>
      <c r="C6" s="8">
        <f>_xlfn.XLOOKUP(B3,Table7[Ár],Table7[7300 Fjarðabyggð])</f>
        <v>2079065</v>
      </c>
      <c r="D6" s="8">
        <f>_xlfn.XLOOKUP(B3,Table7[Ár],Table7[7400 Múlaþing])</f>
        <v>1827098</v>
      </c>
      <c r="E6" s="9">
        <f>_xlfn.XLOOKUP(B3,Table7[Ár],Table7[7502 Vopnafjarðarhreppur])</f>
        <v>315129</v>
      </c>
      <c r="F6" s="31">
        <f>_xlfn.XLOOKUP(B3,Table7[Ár],Table7[7505 Fljótsdalshreppur])</f>
        <v>39669</v>
      </c>
      <c r="G6" s="19"/>
      <c r="H6" s="48" t="s">
        <v>25</v>
      </c>
      <c r="I6" s="8">
        <f>_xlfn.XLOOKUP(H3,Table7[Ár],Table7[7300 Fjarðabyggð])</f>
        <v>2079065</v>
      </c>
      <c r="J6" s="8">
        <f>_xlfn.XLOOKUP(H3,Table7[Ár],Table7[7400 Múlaþing])</f>
        <v>1827098</v>
      </c>
      <c r="K6" s="9">
        <f>_xlfn.XLOOKUP(H3,Table7[Ár],Table7[7502 Vopnafjarðarhreppur])</f>
        <v>315129</v>
      </c>
      <c r="L6" s="31">
        <f>_xlfn.XLOOKUP(H3,Table7[Ár],Table7[7505 Fljótsdalshreppur])</f>
        <v>39669</v>
      </c>
    </row>
    <row r="7" spans="1:12">
      <c r="B7" s="30" t="s">
        <v>10</v>
      </c>
      <c r="C7" s="8">
        <f>_xlfn.XLOOKUP(B3,Table10[Ár],Table10[7300 Fjarðabyggð])</f>
        <v>-22508</v>
      </c>
      <c r="D7" s="9">
        <f>_xlfn.XLOOKUP(B3,Table10[Ár],Table10[7400 Múlaþing])</f>
        <v>87584</v>
      </c>
      <c r="E7" s="9">
        <f>_xlfn.XLOOKUP(B3,Table10[Ár],Table10[7502 Vopnafjarðarhreppur])</f>
        <v>51843</v>
      </c>
      <c r="F7" s="31">
        <f>_xlfn.XLOOKUP(B3,Table10[Ár],Table10[7505 Fljótsdalshreppur])</f>
        <v>-511</v>
      </c>
      <c r="G7" s="19"/>
      <c r="H7" s="48" t="s">
        <v>26</v>
      </c>
      <c r="I7" s="8">
        <f>_xlfn.XLOOKUP(H3,Table10[Ár],Table10[7300 Fjarðabyggð])</f>
        <v>-22508</v>
      </c>
      <c r="J7" s="9">
        <f>_xlfn.XLOOKUP(H3,Table10[Ár],Table10[7400 Múlaþing])</f>
        <v>87584</v>
      </c>
      <c r="K7" s="9">
        <f>_xlfn.XLOOKUP(H3,Table10[Ár],Table10[7502 Vopnafjarðarhreppur])</f>
        <v>51843</v>
      </c>
      <c r="L7" s="31">
        <f>_xlfn.XLOOKUP(H3,Table10[Ár],Table10[7505 Fljótsdalshreppur])</f>
        <v>-511</v>
      </c>
    </row>
    <row r="8" spans="1:12" ht="15.75" thickBot="1">
      <c r="B8" s="30" t="s">
        <v>11</v>
      </c>
      <c r="C8" s="10">
        <f>_xlfn.XLOOKUP(B3,Table11[Ár],Table11[7300 Fjarðabyggð])</f>
        <v>0</v>
      </c>
      <c r="D8" s="11">
        <f>_xlfn.XLOOKUP(B3,Table11[Ár],Table11[7400 Múlaþing])</f>
        <v>793</v>
      </c>
      <c r="E8" s="11">
        <f>_xlfn.XLOOKUP(B3,Table11[Ár],Table11[7502 Vopnafjarðarhreppur])</f>
        <v>0</v>
      </c>
      <c r="F8" s="32">
        <f>_xlfn.XLOOKUP(B3,Table11[Ár],Table11[7505 Fljótsdalshreppur])</f>
        <v>0</v>
      </c>
      <c r="G8" s="19"/>
      <c r="H8" s="48" t="s">
        <v>27</v>
      </c>
      <c r="I8" s="10">
        <f>_xlfn.XLOOKUP(H3,Table11[Ár],Table11[7300 Fjarðabyggð])</f>
        <v>0</v>
      </c>
      <c r="J8" s="11">
        <f>_xlfn.XLOOKUP(H3,Table11[Ár],Table11[7400 Múlaþing])</f>
        <v>793</v>
      </c>
      <c r="K8" s="11">
        <f>_xlfn.XLOOKUP(H3,Table11[Ár],Table11[7502 Vopnafjarðarhreppur])</f>
        <v>0</v>
      </c>
      <c r="L8" s="32">
        <f>_xlfn.XLOOKUP(H3,Table11[Ár],Table11[7505 Fljótsdalshreppur])</f>
        <v>0</v>
      </c>
    </row>
    <row r="9" spans="1:12">
      <c r="B9" s="33" t="s">
        <v>12</v>
      </c>
      <c r="C9" s="12">
        <f t="shared" ref="C9:F9" si="0">SUMIF(C5:C8,"&lt;0",C5:C8)</f>
        <v>-1999631</v>
      </c>
      <c r="D9" s="13">
        <f t="shared" si="0"/>
        <v>-1848993</v>
      </c>
      <c r="E9" s="13">
        <f t="shared" si="0"/>
        <v>-320146</v>
      </c>
      <c r="F9" s="34">
        <f t="shared" si="0"/>
        <v>-39041</v>
      </c>
      <c r="G9" s="37"/>
      <c r="H9" s="49" t="s">
        <v>28</v>
      </c>
      <c r="I9" s="12">
        <f t="shared" ref="I9:L9" si="1">SUMIF(I5:I8,"&lt;0",I5:I8)</f>
        <v>-1999631</v>
      </c>
      <c r="J9" s="13">
        <f t="shared" si="1"/>
        <v>-1848993</v>
      </c>
      <c r="K9" s="13">
        <f t="shared" si="1"/>
        <v>-320146</v>
      </c>
      <c r="L9" s="34">
        <f t="shared" si="1"/>
        <v>-39041</v>
      </c>
    </row>
    <row r="10" spans="1:12" ht="15.75" thickBot="1">
      <c r="B10" s="35" t="s">
        <v>13</v>
      </c>
      <c r="C10" s="14">
        <f t="shared" ref="C10:F10" si="2">SUMIF(C5:C8,"&gt;0",C5:C8)</f>
        <v>2079065</v>
      </c>
      <c r="D10" s="15">
        <f t="shared" si="2"/>
        <v>1915475</v>
      </c>
      <c r="E10" s="15">
        <f t="shared" si="2"/>
        <v>366972</v>
      </c>
      <c r="F10" s="36">
        <f t="shared" si="2"/>
        <v>39669</v>
      </c>
      <c r="G10" s="37"/>
      <c r="H10" s="50" t="s">
        <v>29</v>
      </c>
      <c r="I10" s="14">
        <f t="shared" ref="I10:L10" si="3">SUMIF(I5:I8,"&gt;0",I5:I8)</f>
        <v>2079065</v>
      </c>
      <c r="J10" s="15">
        <f t="shared" si="3"/>
        <v>1915475</v>
      </c>
      <c r="K10" s="15">
        <f t="shared" si="3"/>
        <v>366972</v>
      </c>
      <c r="L10" s="36">
        <f t="shared" si="3"/>
        <v>39669</v>
      </c>
    </row>
    <row r="11" spans="1:12" ht="16.5" thickTop="1" thickBot="1">
      <c r="B11" s="18" t="s">
        <v>14</v>
      </c>
      <c r="C11" s="16">
        <f>-C9/C10</f>
        <v>0.96179340232267874</v>
      </c>
      <c r="D11" s="16">
        <f t="shared" ref="D11:F11" si="4">-D9/D10</f>
        <v>0.96529215990811679</v>
      </c>
      <c r="E11" s="16">
        <f t="shared" si="4"/>
        <v>0.87239898411867933</v>
      </c>
      <c r="F11" s="17">
        <f t="shared" si="4"/>
        <v>0.98416899846227535</v>
      </c>
      <c r="G11" s="42"/>
      <c r="H11" s="51" t="s">
        <v>30</v>
      </c>
      <c r="I11" s="16">
        <f>-I9/I10</f>
        <v>0.96179340232267874</v>
      </c>
      <c r="J11" s="16">
        <f t="shared" ref="J11:L11" si="5">-J9/J10</f>
        <v>0.96529215990811679</v>
      </c>
      <c r="K11" s="16">
        <f t="shared" si="5"/>
        <v>0.87239898411867933</v>
      </c>
      <c r="L11" s="17">
        <f t="shared" si="5"/>
        <v>0.98416899846227535</v>
      </c>
    </row>
    <row r="12" spans="1:12" ht="7.5" customHeight="1" thickBot="1"/>
    <row r="13" spans="1:12" ht="18.75" thickBot="1">
      <c r="B13" s="56">
        <v>2003</v>
      </c>
      <c r="C13" s="57"/>
      <c r="D13" s="57"/>
      <c r="E13" s="57"/>
      <c r="F13" s="58"/>
      <c r="G13" s="39"/>
      <c r="H13" s="56">
        <v>2003</v>
      </c>
      <c r="I13" s="57"/>
      <c r="J13" s="57"/>
      <c r="K13" s="57"/>
      <c r="L13" s="58"/>
    </row>
    <row r="14" spans="1:12" ht="15.75" thickBot="1">
      <c r="B14" s="26"/>
      <c r="C14" s="23" t="s">
        <v>1</v>
      </c>
      <c r="D14" s="5" t="s">
        <v>15</v>
      </c>
      <c r="E14" s="5" t="s">
        <v>31</v>
      </c>
      <c r="F14" s="27" t="s">
        <v>4</v>
      </c>
      <c r="G14" s="40"/>
      <c r="H14" s="26"/>
      <c r="I14" s="23" t="s">
        <v>1</v>
      </c>
      <c r="J14" s="5" t="s">
        <v>15</v>
      </c>
      <c r="K14" s="5" t="s">
        <v>31</v>
      </c>
      <c r="L14" s="27" t="s">
        <v>4</v>
      </c>
    </row>
    <row r="15" spans="1:12">
      <c r="B15" s="28" t="s">
        <v>2</v>
      </c>
      <c r="C15" s="6">
        <f>_xlfn.XLOOKUP(B13,Table1[Ár],Table1[7300 Fjarðabyggð])</f>
        <v>-2045710</v>
      </c>
      <c r="D15" s="7">
        <f>_xlfn.XLOOKUP(B13,Table1[Ár],Table1[7400 Múlaþing])</f>
        <v>-1951022</v>
      </c>
      <c r="E15" s="7">
        <f>_xlfn.XLOOKUP(B13,Table1[Ár],Table1[7502 Vopnafjarðarhreppur])</f>
        <v>-342721</v>
      </c>
      <c r="F15" s="29">
        <f>_xlfn.XLOOKUP(B13,Table1[Ár],Table1[7505 Fljótsdalshreppur])</f>
        <v>-48371</v>
      </c>
      <c r="G15" s="19"/>
      <c r="H15" s="47" t="s">
        <v>24</v>
      </c>
      <c r="I15" s="6">
        <f>_xlfn.XLOOKUP(H13,Table1[Ár],Table1[7300 Fjarðabyggð])</f>
        <v>-2045710</v>
      </c>
      <c r="J15" s="7">
        <f>_xlfn.XLOOKUP(H13,Table1[Ár],Table1[7400 Múlaþing])</f>
        <v>-1951022</v>
      </c>
      <c r="K15" s="7">
        <f>_xlfn.XLOOKUP(H13,Table1[Ár],Table1[7502 Vopnafjarðarhreppur])</f>
        <v>-342721</v>
      </c>
      <c r="L15" s="29">
        <f>_xlfn.XLOOKUP(H13,Table1[Ár],Table1[7505 Fljótsdalshreppur])</f>
        <v>-48371</v>
      </c>
    </row>
    <row r="16" spans="1:12">
      <c r="B16" s="30" t="s">
        <v>9</v>
      </c>
      <c r="C16" s="8">
        <f>_xlfn.XLOOKUP(B13,Table7[Ár],Table7[7300 Fjarðabyggð])</f>
        <v>2214524</v>
      </c>
      <c r="D16" s="8">
        <f>_xlfn.XLOOKUP(B13,Table7[Ár],Table7[7400 Múlaþing])</f>
        <v>1939776</v>
      </c>
      <c r="E16" s="9">
        <f>_xlfn.XLOOKUP(B13,Table7[Ár],Table7[7502 Vopnafjarðarhreppur])</f>
        <v>356646</v>
      </c>
      <c r="F16" s="31">
        <f>_xlfn.XLOOKUP(B13,Table7[Ár],Table7[7505 Fljótsdalshreppur])</f>
        <v>45298</v>
      </c>
      <c r="G16" s="19"/>
      <c r="H16" s="48" t="s">
        <v>25</v>
      </c>
      <c r="I16" s="8">
        <f>_xlfn.XLOOKUP(H13,Table7[Ár],Table7[7300 Fjarðabyggð])</f>
        <v>2214524</v>
      </c>
      <c r="J16" s="8">
        <f>_xlfn.XLOOKUP(H13,Table7[Ár],Table7[7400 Múlaþing])</f>
        <v>1939776</v>
      </c>
      <c r="K16" s="9">
        <f>_xlfn.XLOOKUP(H13,Table7[Ár],Table7[7502 Vopnafjarðarhreppur])</f>
        <v>356646</v>
      </c>
      <c r="L16" s="31">
        <f>_xlfn.XLOOKUP(H13,Table7[Ár],Table7[7505 Fljótsdalshreppur])</f>
        <v>45298</v>
      </c>
    </row>
    <row r="17" spans="2:12">
      <c r="B17" s="30" t="s">
        <v>10</v>
      </c>
      <c r="C17" s="8">
        <f>_xlfn.XLOOKUP(B13,Table10[Ár],Table10[7300 Fjarðabyggð])</f>
        <v>189495</v>
      </c>
      <c r="D17" s="9">
        <f>_xlfn.XLOOKUP(B13,Table10[Ár],Table10[7400 Múlaþing])</f>
        <v>130336</v>
      </c>
      <c r="E17" s="9">
        <f>_xlfn.XLOOKUP(B13,Table10[Ár],Table10[7502 Vopnafjarðarhreppur])</f>
        <v>52852</v>
      </c>
      <c r="F17" s="31">
        <f>_xlfn.XLOOKUP(B13,Table10[Ár],Table10[7505 Fljótsdalshreppur])</f>
        <v>-1029</v>
      </c>
      <c r="G17" s="19"/>
      <c r="H17" s="48" t="s">
        <v>26</v>
      </c>
      <c r="I17" s="8">
        <f>_xlfn.XLOOKUP(H13,Table10[Ár],Table10[7300 Fjarðabyggð])</f>
        <v>189495</v>
      </c>
      <c r="J17" s="9">
        <f>_xlfn.XLOOKUP(H13,Table10[Ár],Table10[7400 Múlaþing])</f>
        <v>130336</v>
      </c>
      <c r="K17" s="9">
        <f>_xlfn.XLOOKUP(H13,Table10[Ár],Table10[7502 Vopnafjarðarhreppur])</f>
        <v>52852</v>
      </c>
      <c r="L17" s="31">
        <f>_xlfn.XLOOKUP(H13,Table10[Ár],Table10[7505 Fljótsdalshreppur])</f>
        <v>-1029</v>
      </c>
    </row>
    <row r="18" spans="2:12" ht="15.75" thickBot="1">
      <c r="B18" s="30" t="s">
        <v>11</v>
      </c>
      <c r="C18" s="10">
        <f>_xlfn.XLOOKUP(B13,Table11[Ár],Table11[7300 Fjarðabyggð])</f>
        <v>52628</v>
      </c>
      <c r="D18" s="11">
        <f>_xlfn.XLOOKUP(B13,Table11[Ár],Table11[7400 Múlaþing])</f>
        <v>-1417</v>
      </c>
      <c r="E18" s="11">
        <f>_xlfn.XLOOKUP(B13,Table11[Ár],Table11[7502 Vopnafjarðarhreppur])</f>
        <v>1429</v>
      </c>
      <c r="F18" s="32">
        <f>_xlfn.XLOOKUP(B13,Table11[Ár],Table11[7505 Fljótsdalshreppur])</f>
        <v>212</v>
      </c>
      <c r="G18" s="19"/>
      <c r="H18" s="48" t="s">
        <v>27</v>
      </c>
      <c r="I18" s="10">
        <f>_xlfn.XLOOKUP(H13,Table11[Ár],Table11[7300 Fjarðabyggð])</f>
        <v>52628</v>
      </c>
      <c r="J18" s="11">
        <f>_xlfn.XLOOKUP(H13,Table11[Ár],Table11[7400 Múlaþing])</f>
        <v>-1417</v>
      </c>
      <c r="K18" s="11">
        <f>_xlfn.XLOOKUP(H13,Table11[Ár],Table11[7502 Vopnafjarðarhreppur])</f>
        <v>1429</v>
      </c>
      <c r="L18" s="32">
        <f>_xlfn.XLOOKUP(H13,Table11[Ár],Table11[7505 Fljótsdalshreppur])</f>
        <v>212</v>
      </c>
    </row>
    <row r="19" spans="2:12">
      <c r="B19" s="33" t="s">
        <v>12</v>
      </c>
      <c r="C19" s="12">
        <f t="shared" ref="C19:F19" si="6">SUMIF(C15:C18,"&lt;0",C15:C18)</f>
        <v>-2045710</v>
      </c>
      <c r="D19" s="13">
        <f t="shared" si="6"/>
        <v>-1952439</v>
      </c>
      <c r="E19" s="13">
        <f t="shared" si="6"/>
        <v>-342721</v>
      </c>
      <c r="F19" s="34">
        <f t="shared" si="6"/>
        <v>-49400</v>
      </c>
      <c r="G19" s="37"/>
      <c r="H19" s="49" t="s">
        <v>28</v>
      </c>
      <c r="I19" s="12">
        <f t="shared" ref="I19:L19" si="7">SUMIF(I15:I18,"&lt;0",I15:I18)</f>
        <v>-2045710</v>
      </c>
      <c r="J19" s="13">
        <f t="shared" si="7"/>
        <v>-1952439</v>
      </c>
      <c r="K19" s="13">
        <f t="shared" si="7"/>
        <v>-342721</v>
      </c>
      <c r="L19" s="34">
        <f t="shared" si="7"/>
        <v>-49400</v>
      </c>
    </row>
    <row r="20" spans="2:12" ht="15.75" thickBot="1">
      <c r="B20" s="35" t="s">
        <v>13</v>
      </c>
      <c r="C20" s="14">
        <f t="shared" ref="C20:F20" si="8">SUMIF(C15:C18,"&gt;0",C15:C18)</f>
        <v>2456647</v>
      </c>
      <c r="D20" s="15">
        <f t="shared" si="8"/>
        <v>2070112</v>
      </c>
      <c r="E20" s="15">
        <f t="shared" si="8"/>
        <v>410927</v>
      </c>
      <c r="F20" s="36">
        <f t="shared" si="8"/>
        <v>45510</v>
      </c>
      <c r="G20" s="37"/>
      <c r="H20" s="50" t="s">
        <v>29</v>
      </c>
      <c r="I20" s="14">
        <f t="shared" ref="I20:L20" si="9">SUMIF(I15:I18,"&gt;0",I15:I18)</f>
        <v>2456647</v>
      </c>
      <c r="J20" s="15">
        <f t="shared" si="9"/>
        <v>2070112</v>
      </c>
      <c r="K20" s="15">
        <f t="shared" si="9"/>
        <v>410927</v>
      </c>
      <c r="L20" s="36">
        <f t="shared" si="9"/>
        <v>45510</v>
      </c>
    </row>
    <row r="21" spans="2:12" ht="16.5" thickTop="1" thickBot="1">
      <c r="B21" s="18" t="s">
        <v>14</v>
      </c>
      <c r="C21" s="16">
        <f>-C19/C20</f>
        <v>0.83272444107761512</v>
      </c>
      <c r="D21" s="16">
        <f t="shared" ref="D21:F21" si="10">-D19/D20</f>
        <v>0.94315621570233876</v>
      </c>
      <c r="E21" s="16">
        <f t="shared" si="10"/>
        <v>0.83401918102242001</v>
      </c>
      <c r="F21" s="17">
        <f t="shared" si="10"/>
        <v>1.085475719622061</v>
      </c>
      <c r="G21" s="42"/>
      <c r="H21" s="51" t="s">
        <v>30</v>
      </c>
      <c r="I21" s="16">
        <f>-I19/I20</f>
        <v>0.83272444107761512</v>
      </c>
      <c r="J21" s="16">
        <f t="shared" ref="J21:L21" si="11">-J19/J20</f>
        <v>0.94315621570233876</v>
      </c>
      <c r="K21" s="16">
        <f t="shared" si="11"/>
        <v>0.83401918102242001</v>
      </c>
      <c r="L21" s="17">
        <f t="shared" si="11"/>
        <v>1.085475719622061</v>
      </c>
    </row>
    <row r="22" spans="2:12" ht="7.5" customHeight="1" thickBot="1"/>
    <row r="23" spans="2:12" ht="18.75" thickBot="1">
      <c r="B23" s="56">
        <v>2004</v>
      </c>
      <c r="C23" s="57"/>
      <c r="D23" s="57"/>
      <c r="E23" s="57"/>
      <c r="F23" s="58"/>
      <c r="G23" s="39"/>
      <c r="H23" s="56">
        <v>2004</v>
      </c>
      <c r="I23" s="57"/>
      <c r="J23" s="57"/>
      <c r="K23" s="57"/>
      <c r="L23" s="58"/>
    </row>
    <row r="24" spans="2:12" ht="15.75" thickBot="1">
      <c r="B24" s="26"/>
      <c r="C24" s="23" t="s">
        <v>1</v>
      </c>
      <c r="D24" s="5" t="s">
        <v>15</v>
      </c>
      <c r="E24" s="5" t="s">
        <v>31</v>
      </c>
      <c r="F24" s="27" t="s">
        <v>4</v>
      </c>
      <c r="G24" s="40"/>
      <c r="H24" s="26"/>
      <c r="I24" s="23" t="s">
        <v>1</v>
      </c>
      <c r="J24" s="5" t="s">
        <v>15</v>
      </c>
      <c r="K24" s="5" t="s">
        <v>31</v>
      </c>
      <c r="L24" s="27" t="s">
        <v>4</v>
      </c>
    </row>
    <row r="25" spans="2:12">
      <c r="B25" s="28" t="s">
        <v>2</v>
      </c>
      <c r="C25" s="6">
        <f>_xlfn.XLOOKUP(B23,Table1[Ár],Table1[7300 Fjarðabyggð])</f>
        <v>-2273617</v>
      </c>
      <c r="D25" s="7">
        <f>_xlfn.XLOOKUP(B23,Table1[Ár],Table1[7400 Múlaþing])</f>
        <v>-2257774</v>
      </c>
      <c r="E25" s="7">
        <f>_xlfn.XLOOKUP(B23,Table1[Ár],Table1[7502 Vopnafjarðarhreppur])</f>
        <v>-424625</v>
      </c>
      <c r="F25" s="29">
        <f>_xlfn.XLOOKUP(B23,Table1[Ár],Table1[7505 Fljótsdalshreppur])</f>
        <v>-119721</v>
      </c>
      <c r="G25" s="19"/>
      <c r="H25" s="47" t="s">
        <v>24</v>
      </c>
      <c r="I25" s="6">
        <f>_xlfn.XLOOKUP(H23,Table1[Ár],Table1[7300 Fjarðabyggð])</f>
        <v>-2273617</v>
      </c>
      <c r="J25" s="7">
        <f>_xlfn.XLOOKUP(H23,Table1[Ár],Table1[7400 Múlaþing])</f>
        <v>-2257774</v>
      </c>
      <c r="K25" s="7">
        <f>_xlfn.XLOOKUP(H23,Table1[Ár],Table1[7502 Vopnafjarðarhreppur])</f>
        <v>-424625</v>
      </c>
      <c r="L25" s="29">
        <f>_xlfn.XLOOKUP(H23,Table1[Ár],Table1[7505 Fljótsdalshreppur])</f>
        <v>-119721</v>
      </c>
    </row>
    <row r="26" spans="2:12">
      <c r="B26" s="30" t="s">
        <v>9</v>
      </c>
      <c r="C26" s="8">
        <f>_xlfn.XLOOKUP(B23,Table7[Ár],Table7[7300 Fjarðabyggð])</f>
        <v>2328323</v>
      </c>
      <c r="D26" s="8">
        <f>_xlfn.XLOOKUP(B23,Table7[Ár],Table7[7400 Múlaþing])</f>
        <v>2163356</v>
      </c>
      <c r="E26" s="9">
        <f>_xlfn.XLOOKUP(B23,Table7[Ár],Table7[7502 Vopnafjarðarhreppur])</f>
        <v>411346</v>
      </c>
      <c r="F26" s="31">
        <f>_xlfn.XLOOKUP(B23,Table7[Ár],Table7[7505 Fljótsdalshreppur])</f>
        <v>53502</v>
      </c>
      <c r="G26" s="19"/>
      <c r="H26" s="48" t="s">
        <v>25</v>
      </c>
      <c r="I26" s="8">
        <f>_xlfn.XLOOKUP(H23,Table7[Ár],Table7[7300 Fjarðabyggð])</f>
        <v>2328323</v>
      </c>
      <c r="J26" s="8">
        <f>_xlfn.XLOOKUP(H23,Table7[Ár],Table7[7400 Múlaþing])</f>
        <v>2163356</v>
      </c>
      <c r="K26" s="9">
        <f>_xlfn.XLOOKUP(H23,Table7[Ár],Table7[7502 Vopnafjarðarhreppur])</f>
        <v>411346</v>
      </c>
      <c r="L26" s="31">
        <f>_xlfn.XLOOKUP(H23,Table7[Ár],Table7[7505 Fljótsdalshreppur])</f>
        <v>53502</v>
      </c>
    </row>
    <row r="27" spans="2:12">
      <c r="B27" s="30" t="s">
        <v>10</v>
      </c>
      <c r="C27" s="8">
        <f>_xlfn.XLOOKUP(B23,Table10[Ár],Table10[7300 Fjarðabyggð])</f>
        <v>131323</v>
      </c>
      <c r="D27" s="9">
        <f>_xlfn.XLOOKUP(B23,Table10[Ár],Table10[7400 Múlaþing])</f>
        <v>161752</v>
      </c>
      <c r="E27" s="9">
        <f>_xlfn.XLOOKUP(B23,Table10[Ár],Table10[7502 Vopnafjarðarhreppur])</f>
        <v>78985</v>
      </c>
      <c r="F27" s="31">
        <f>_xlfn.XLOOKUP(B23,Table10[Ár],Table10[7505 Fljótsdalshreppur])</f>
        <v>-1180</v>
      </c>
      <c r="G27" s="19"/>
      <c r="H27" s="48" t="s">
        <v>26</v>
      </c>
      <c r="I27" s="8">
        <f>_xlfn.XLOOKUP(H23,Table10[Ár],Table10[7300 Fjarðabyggð])</f>
        <v>131323</v>
      </c>
      <c r="J27" s="9">
        <f>_xlfn.XLOOKUP(H23,Table10[Ár],Table10[7400 Múlaþing])</f>
        <v>161752</v>
      </c>
      <c r="K27" s="9">
        <f>_xlfn.XLOOKUP(H23,Table10[Ár],Table10[7502 Vopnafjarðarhreppur])</f>
        <v>78985</v>
      </c>
      <c r="L27" s="31">
        <f>_xlfn.XLOOKUP(H23,Table10[Ár],Table10[7505 Fljótsdalshreppur])</f>
        <v>-1180</v>
      </c>
    </row>
    <row r="28" spans="2:12" ht="15.75" thickBot="1">
      <c r="B28" s="30" t="s">
        <v>11</v>
      </c>
      <c r="C28" s="10">
        <f>_xlfn.XLOOKUP(B23,Table11[Ár],Table11[7300 Fjarðabyggð])</f>
        <v>0</v>
      </c>
      <c r="D28" s="11">
        <f>_xlfn.XLOOKUP(B23,Table11[Ár],Table11[7400 Múlaþing])</f>
        <v>9695</v>
      </c>
      <c r="E28" s="11">
        <f>_xlfn.XLOOKUP(B23,Table11[Ár],Table11[7502 Vopnafjarðarhreppur])</f>
        <v>0</v>
      </c>
      <c r="F28" s="32">
        <f>_xlfn.XLOOKUP(B23,Table11[Ár],Table11[7505 Fljótsdalshreppur])</f>
        <v>0</v>
      </c>
      <c r="G28" s="19"/>
      <c r="H28" s="48" t="s">
        <v>27</v>
      </c>
      <c r="I28" s="10">
        <f>_xlfn.XLOOKUP(H23,Table11[Ár],Table11[7300 Fjarðabyggð])</f>
        <v>0</v>
      </c>
      <c r="J28" s="11">
        <f>_xlfn.XLOOKUP(H23,Table11[Ár],Table11[7400 Múlaþing])</f>
        <v>9695</v>
      </c>
      <c r="K28" s="11">
        <f>_xlfn.XLOOKUP(H23,Table11[Ár],Table11[7502 Vopnafjarðarhreppur])</f>
        <v>0</v>
      </c>
      <c r="L28" s="32">
        <f>_xlfn.XLOOKUP(H23,Table11[Ár],Table11[7505 Fljótsdalshreppur])</f>
        <v>0</v>
      </c>
    </row>
    <row r="29" spans="2:12">
      <c r="B29" s="33" t="s">
        <v>12</v>
      </c>
      <c r="C29" s="12">
        <f t="shared" ref="C29:F29" si="12">SUMIF(C25:C28,"&lt;0",C25:C28)</f>
        <v>-2273617</v>
      </c>
      <c r="D29" s="13">
        <f t="shared" si="12"/>
        <v>-2257774</v>
      </c>
      <c r="E29" s="13">
        <f t="shared" si="12"/>
        <v>-424625</v>
      </c>
      <c r="F29" s="34">
        <f t="shared" si="12"/>
        <v>-120901</v>
      </c>
      <c r="G29" s="37"/>
      <c r="H29" s="49" t="s">
        <v>28</v>
      </c>
      <c r="I29" s="12">
        <f t="shared" ref="I29:L29" si="13">SUMIF(I25:I28,"&lt;0",I25:I28)</f>
        <v>-2273617</v>
      </c>
      <c r="J29" s="13">
        <f t="shared" si="13"/>
        <v>-2257774</v>
      </c>
      <c r="K29" s="13">
        <f t="shared" si="13"/>
        <v>-424625</v>
      </c>
      <c r="L29" s="34">
        <f t="shared" si="13"/>
        <v>-120901</v>
      </c>
    </row>
    <row r="30" spans="2:12" ht="15.75" thickBot="1">
      <c r="B30" s="35" t="s">
        <v>13</v>
      </c>
      <c r="C30" s="14">
        <f t="shared" ref="C30:F30" si="14">SUMIF(C25:C28,"&gt;0",C25:C28)</f>
        <v>2459646</v>
      </c>
      <c r="D30" s="15">
        <f t="shared" si="14"/>
        <v>2334803</v>
      </c>
      <c r="E30" s="15">
        <f t="shared" si="14"/>
        <v>490331</v>
      </c>
      <c r="F30" s="36">
        <f t="shared" si="14"/>
        <v>53502</v>
      </c>
      <c r="G30" s="37"/>
      <c r="H30" s="50" t="s">
        <v>29</v>
      </c>
      <c r="I30" s="14">
        <f t="shared" ref="I30:L30" si="15">SUMIF(I25:I28,"&gt;0",I25:I28)</f>
        <v>2459646</v>
      </c>
      <c r="J30" s="15">
        <f t="shared" si="15"/>
        <v>2334803</v>
      </c>
      <c r="K30" s="15">
        <f t="shared" si="15"/>
        <v>490331</v>
      </c>
      <c r="L30" s="36">
        <f t="shared" si="15"/>
        <v>53502</v>
      </c>
    </row>
    <row r="31" spans="2:12" ht="16.5" thickTop="1" thickBot="1">
      <c r="B31" s="18" t="s">
        <v>14</v>
      </c>
      <c r="C31" s="16">
        <f>-C29/C30</f>
        <v>0.92436757159363581</v>
      </c>
      <c r="D31" s="16">
        <f t="shared" ref="D31:F31" si="16">-D29/D30</f>
        <v>0.96700835145406272</v>
      </c>
      <c r="E31" s="16">
        <f t="shared" si="16"/>
        <v>0.86599664308395752</v>
      </c>
      <c r="F31" s="17">
        <f t="shared" si="16"/>
        <v>2.2597472991663863</v>
      </c>
      <c r="G31" s="42"/>
      <c r="H31" s="51" t="s">
        <v>30</v>
      </c>
      <c r="I31" s="16">
        <f>-I29/I30</f>
        <v>0.92436757159363581</v>
      </c>
      <c r="J31" s="16">
        <f t="shared" ref="J31:L31" si="17">-J29/J30</f>
        <v>0.96700835145406272</v>
      </c>
      <c r="K31" s="16">
        <f t="shared" si="17"/>
        <v>0.86599664308395752</v>
      </c>
      <c r="L31" s="17">
        <f t="shared" si="17"/>
        <v>2.2597472991663863</v>
      </c>
    </row>
    <row r="32" spans="2:12" ht="7.5" customHeight="1" thickBot="1"/>
    <row r="33" spans="2:14" ht="18.75" thickBot="1">
      <c r="B33" s="56">
        <v>2005</v>
      </c>
      <c r="C33" s="57"/>
      <c r="D33" s="57"/>
      <c r="E33" s="57"/>
      <c r="F33" s="58"/>
      <c r="H33" s="56">
        <v>2005</v>
      </c>
      <c r="I33" s="57"/>
      <c r="J33" s="57"/>
      <c r="K33" s="57"/>
      <c r="L33" s="58"/>
    </row>
    <row r="34" spans="2:14" ht="15.75" thickBot="1">
      <c r="B34" s="26"/>
      <c r="C34" s="23" t="s">
        <v>1</v>
      </c>
      <c r="D34" s="5" t="s">
        <v>15</v>
      </c>
      <c r="E34" s="5" t="s">
        <v>31</v>
      </c>
      <c r="F34" s="27" t="s">
        <v>4</v>
      </c>
      <c r="H34" s="26"/>
      <c r="I34" s="23" t="s">
        <v>1</v>
      </c>
      <c r="J34" s="5" t="s">
        <v>15</v>
      </c>
      <c r="K34" s="5" t="s">
        <v>31</v>
      </c>
      <c r="L34" s="27" t="s">
        <v>4</v>
      </c>
      <c r="N34" s="40"/>
    </row>
    <row r="35" spans="2:14">
      <c r="B35" s="28" t="s">
        <v>2</v>
      </c>
      <c r="C35" s="6">
        <f>_xlfn.XLOOKUP(B33,Table1[Ár],Table1[7300 Fjarðabyggð])</f>
        <v>-2740773</v>
      </c>
      <c r="D35" s="7">
        <f>_xlfn.XLOOKUP(B33,Table1[Ár],Table1[7400 Múlaþing])</f>
        <v>-2775737</v>
      </c>
      <c r="E35" s="7">
        <f>_xlfn.XLOOKUP(B33,Table1[Ár],Table1[7502 Vopnafjarðarhreppur])</f>
        <v>-403628</v>
      </c>
      <c r="F35" s="29">
        <f>_xlfn.XLOOKUP(B33,Table1[Ár],Table1[7505 Fljótsdalshreppur])</f>
        <v>-191384</v>
      </c>
      <c r="H35" s="47" t="s">
        <v>24</v>
      </c>
      <c r="I35" s="6">
        <f>_xlfn.XLOOKUP(H33,Table1[Ár],Table1[7300 Fjarðabyggð])</f>
        <v>-2740773</v>
      </c>
      <c r="J35" s="7">
        <f>_xlfn.XLOOKUP(H33,Table1[Ár],Table1[7400 Múlaþing])</f>
        <v>-2775737</v>
      </c>
      <c r="K35" s="7">
        <f>_xlfn.XLOOKUP(H33,Table1[Ár],Table1[7502 Vopnafjarðarhreppur])</f>
        <v>-403628</v>
      </c>
      <c r="L35" s="29">
        <f>_xlfn.XLOOKUP(H33,Table1[Ár],Table1[7505 Fljótsdalshreppur])</f>
        <v>-191384</v>
      </c>
    </row>
    <row r="36" spans="2:14">
      <c r="B36" s="30" t="s">
        <v>9</v>
      </c>
      <c r="C36" s="8">
        <f>_xlfn.XLOOKUP(B33,Table7[Ár],Table7[7300 Fjarðabyggð])</f>
        <v>2653638</v>
      </c>
      <c r="D36" s="8">
        <f>_xlfn.XLOOKUP(B33,Table7[Ár],Table7[7400 Múlaþing])</f>
        <v>2439540</v>
      </c>
      <c r="E36" s="9">
        <f>_xlfn.XLOOKUP(B33,Table7[Ár],Table7[7502 Vopnafjarðarhreppur])</f>
        <v>422329</v>
      </c>
      <c r="F36" s="31">
        <f>_xlfn.XLOOKUP(B33,Table7[Ár],Table7[7505 Fljótsdalshreppur])</f>
        <v>81311</v>
      </c>
      <c r="H36" s="48" t="s">
        <v>25</v>
      </c>
      <c r="I36" s="8">
        <f>_xlfn.XLOOKUP(H33,Table7[Ár],Table7[7300 Fjarðabyggð])</f>
        <v>2653638</v>
      </c>
      <c r="J36" s="8">
        <f>_xlfn.XLOOKUP(H33,Table7[Ár],Table7[7400 Múlaþing])</f>
        <v>2439540</v>
      </c>
      <c r="K36" s="9">
        <f>_xlfn.XLOOKUP(H33,Table7[Ár],Table7[7502 Vopnafjarðarhreppur])</f>
        <v>422329</v>
      </c>
      <c r="L36" s="31">
        <f>_xlfn.XLOOKUP(H33,Table7[Ár],Table7[7505 Fljótsdalshreppur])</f>
        <v>81311</v>
      </c>
    </row>
    <row r="37" spans="2:14">
      <c r="B37" s="30" t="s">
        <v>10</v>
      </c>
      <c r="C37" s="8">
        <f>_xlfn.XLOOKUP(B33,Table10[Ár],Table10[7300 Fjarðabyggð])</f>
        <v>185396</v>
      </c>
      <c r="D37" s="9">
        <f>_xlfn.XLOOKUP(B33,Table10[Ár],Table10[7400 Múlaþing])</f>
        <v>211028</v>
      </c>
      <c r="E37" s="9">
        <f>_xlfn.XLOOKUP(B33,Table10[Ár],Table10[7502 Vopnafjarðarhreppur])</f>
        <v>16378</v>
      </c>
      <c r="F37" s="31">
        <f>_xlfn.XLOOKUP(B33,Table10[Ár],Table10[7505 Fljótsdalshreppur])</f>
        <v>-2501</v>
      </c>
      <c r="H37" s="48" t="s">
        <v>26</v>
      </c>
      <c r="I37" s="8">
        <f>_xlfn.XLOOKUP(H33,Table10[Ár],Table10[7300 Fjarðabyggð])</f>
        <v>185396</v>
      </c>
      <c r="J37" s="9">
        <f>_xlfn.XLOOKUP(H33,Table10[Ár],Table10[7400 Múlaþing])</f>
        <v>211028</v>
      </c>
      <c r="K37" s="9">
        <f>_xlfn.XLOOKUP(H33,Table10[Ár],Table10[7502 Vopnafjarðarhreppur])</f>
        <v>16378</v>
      </c>
      <c r="L37" s="31">
        <f>_xlfn.XLOOKUP(H33,Table10[Ár],Table10[7505 Fljótsdalshreppur])</f>
        <v>-2501</v>
      </c>
    </row>
    <row r="38" spans="2:14" ht="15.75" thickBot="1">
      <c r="B38" s="30" t="s">
        <v>11</v>
      </c>
      <c r="C38" s="10">
        <f>_xlfn.XLOOKUP(B33,Table11[Ár],Table11[7300 Fjarðabyggð])</f>
        <v>0</v>
      </c>
      <c r="D38" s="11">
        <f>_xlfn.XLOOKUP(B33,Table11[Ár],Table11[7400 Múlaþing])</f>
        <v>0</v>
      </c>
      <c r="E38" s="11">
        <f>_xlfn.XLOOKUP(B33,Table11[Ár],Table11[7502 Vopnafjarðarhreppur])</f>
        <v>0</v>
      </c>
      <c r="F38" s="32">
        <f>_xlfn.XLOOKUP(B33,Table11[Ár],Table11[7505 Fljótsdalshreppur])</f>
        <v>5047</v>
      </c>
      <c r="H38" s="48" t="s">
        <v>27</v>
      </c>
      <c r="I38" s="10">
        <f>_xlfn.XLOOKUP(H33,Table11[Ár],Table11[7300 Fjarðabyggð])</f>
        <v>0</v>
      </c>
      <c r="J38" s="11">
        <f>_xlfn.XLOOKUP(H33,Table11[Ár],Table11[7400 Múlaþing])</f>
        <v>0</v>
      </c>
      <c r="K38" s="11">
        <f>_xlfn.XLOOKUP(H33,Table11[Ár],Table11[7502 Vopnafjarðarhreppur])</f>
        <v>0</v>
      </c>
      <c r="L38" s="32">
        <f>_xlfn.XLOOKUP(H33,Table11[Ár],Table11[7505 Fljótsdalshreppur])</f>
        <v>5047</v>
      </c>
    </row>
    <row r="39" spans="2:14">
      <c r="B39" s="33" t="s">
        <v>12</v>
      </c>
      <c r="C39" s="12">
        <f t="shared" ref="C39:F39" si="18">SUMIF(C35:C38,"&lt;0",C35:C38)</f>
        <v>-2740773</v>
      </c>
      <c r="D39" s="13">
        <f t="shared" si="18"/>
        <v>-2775737</v>
      </c>
      <c r="E39" s="13">
        <f t="shared" si="18"/>
        <v>-403628</v>
      </c>
      <c r="F39" s="34">
        <f t="shared" si="18"/>
        <v>-193885</v>
      </c>
      <c r="H39" s="49" t="s">
        <v>28</v>
      </c>
      <c r="I39" s="12">
        <f t="shared" ref="I39:L39" si="19">SUMIF(I35:I38,"&lt;0",I35:I38)</f>
        <v>-2740773</v>
      </c>
      <c r="J39" s="13">
        <f t="shared" si="19"/>
        <v>-2775737</v>
      </c>
      <c r="K39" s="13">
        <f t="shared" si="19"/>
        <v>-403628</v>
      </c>
      <c r="L39" s="34">
        <f t="shared" si="19"/>
        <v>-193885</v>
      </c>
    </row>
    <row r="40" spans="2:14" ht="15.75" thickBot="1">
      <c r="B40" s="35" t="s">
        <v>13</v>
      </c>
      <c r="C40" s="14">
        <f t="shared" ref="C40:F40" si="20">SUMIF(C35:C38,"&gt;0",C35:C38)</f>
        <v>2839034</v>
      </c>
      <c r="D40" s="15">
        <f t="shared" si="20"/>
        <v>2650568</v>
      </c>
      <c r="E40" s="15">
        <f t="shared" si="20"/>
        <v>438707</v>
      </c>
      <c r="F40" s="36">
        <f t="shared" si="20"/>
        <v>86358</v>
      </c>
      <c r="H40" s="50" t="s">
        <v>29</v>
      </c>
      <c r="I40" s="14">
        <f t="shared" ref="I40:L40" si="21">SUMIF(I35:I38,"&gt;0",I35:I38)</f>
        <v>2839034</v>
      </c>
      <c r="J40" s="15">
        <f t="shared" si="21"/>
        <v>2650568</v>
      </c>
      <c r="K40" s="15">
        <f t="shared" si="21"/>
        <v>438707</v>
      </c>
      <c r="L40" s="36">
        <f t="shared" si="21"/>
        <v>86358</v>
      </c>
    </row>
    <row r="41" spans="2:14" ht="16.5" thickTop="1" thickBot="1">
      <c r="B41" s="18" t="s">
        <v>14</v>
      </c>
      <c r="C41" s="16">
        <f>-C39/C40</f>
        <v>0.96538928381977818</v>
      </c>
      <c r="D41" s="16">
        <f t="shared" ref="D41:F41" si="22">-D39/D40</f>
        <v>1.0472234630464112</v>
      </c>
      <c r="E41" s="16">
        <f t="shared" si="22"/>
        <v>0.92004002671486895</v>
      </c>
      <c r="F41" s="17">
        <f t="shared" si="22"/>
        <v>2.2451307348479586</v>
      </c>
      <c r="H41" s="51" t="s">
        <v>30</v>
      </c>
      <c r="I41" s="16">
        <f>-I39/I40</f>
        <v>0.96538928381977818</v>
      </c>
      <c r="J41" s="16">
        <f t="shared" ref="J41:L41" si="23">-J39/J40</f>
        <v>1.0472234630464112</v>
      </c>
      <c r="K41" s="16">
        <f t="shared" si="23"/>
        <v>0.92004002671486895</v>
      </c>
      <c r="L41" s="17">
        <f t="shared" si="23"/>
        <v>2.2451307348479586</v>
      </c>
    </row>
    <row r="42" spans="2:14" ht="7.5" customHeight="1" thickBot="1"/>
    <row r="43" spans="2:14" ht="18.75" thickBot="1">
      <c r="B43" s="56">
        <v>2006</v>
      </c>
      <c r="C43" s="57"/>
      <c r="D43" s="57"/>
      <c r="E43" s="57"/>
      <c r="F43" s="58"/>
      <c r="H43" s="56">
        <v>2006</v>
      </c>
      <c r="I43" s="57"/>
      <c r="J43" s="57"/>
      <c r="K43" s="57"/>
      <c r="L43" s="58"/>
    </row>
    <row r="44" spans="2:14" ht="15.75" thickBot="1">
      <c r="B44" s="26"/>
      <c r="C44" s="23" t="s">
        <v>1</v>
      </c>
      <c r="D44" s="5" t="s">
        <v>15</v>
      </c>
      <c r="E44" s="5" t="s">
        <v>31</v>
      </c>
      <c r="F44" s="27" t="s">
        <v>4</v>
      </c>
      <c r="H44" s="26"/>
      <c r="I44" s="23" t="s">
        <v>1</v>
      </c>
      <c r="J44" s="5" t="s">
        <v>15</v>
      </c>
      <c r="K44" s="5" t="s">
        <v>31</v>
      </c>
      <c r="L44" s="27" t="s">
        <v>4</v>
      </c>
    </row>
    <row r="45" spans="2:14">
      <c r="B45" s="28" t="s">
        <v>2</v>
      </c>
      <c r="C45" s="6">
        <f>_xlfn.XLOOKUP(B43,Table1[Ár],Table1[7300 Fjarðabyggð])</f>
        <v>-3922214</v>
      </c>
      <c r="D45" s="7">
        <f>_xlfn.XLOOKUP(B43,Table1[Ár],Table1[7400 Múlaþing])</f>
        <v>-3194002</v>
      </c>
      <c r="E45" s="7">
        <f>_xlfn.XLOOKUP(B43,Table1[Ár],Table1[7502 Vopnafjarðarhreppur])</f>
        <v>-435532</v>
      </c>
      <c r="F45" s="29">
        <f>_xlfn.XLOOKUP(B43,Table1[Ár],Table1[7505 Fljótsdalshreppur])</f>
        <v>-216264</v>
      </c>
      <c r="H45" s="47" t="s">
        <v>24</v>
      </c>
      <c r="I45" s="6">
        <f>_xlfn.XLOOKUP(H43,Table1[Ár],Table1[7300 Fjarðabyggð])</f>
        <v>-3922214</v>
      </c>
      <c r="J45" s="7">
        <f>_xlfn.XLOOKUP(H43,Table1[Ár],Table1[7400 Múlaþing])</f>
        <v>-3194002</v>
      </c>
      <c r="K45" s="7">
        <f>_xlfn.XLOOKUP(H43,Table1[Ár],Table1[7502 Vopnafjarðarhreppur])</f>
        <v>-435532</v>
      </c>
      <c r="L45" s="29">
        <f>_xlfn.XLOOKUP(H43,Table1[Ár],Table1[7505 Fljótsdalshreppur])</f>
        <v>-216264</v>
      </c>
    </row>
    <row r="46" spans="2:14">
      <c r="B46" s="30" t="s">
        <v>9</v>
      </c>
      <c r="C46" s="8">
        <f>_xlfn.XLOOKUP(B43,Table7[Ár],Table7[7300 Fjarðabyggð])</f>
        <v>2983392</v>
      </c>
      <c r="D46" s="8">
        <f>_xlfn.XLOOKUP(B43,Table7[Ár],Table7[7400 Múlaþing])</f>
        <v>2746428</v>
      </c>
      <c r="E46" s="9">
        <f>_xlfn.XLOOKUP(B43,Table7[Ár],Table7[7502 Vopnafjarðarhreppur])</f>
        <v>417449</v>
      </c>
      <c r="F46" s="31">
        <f>_xlfn.XLOOKUP(B43,Table7[Ár],Table7[7505 Fljótsdalshreppur])</f>
        <v>64617</v>
      </c>
      <c r="H46" s="48" t="s">
        <v>25</v>
      </c>
      <c r="I46" s="8">
        <f>_xlfn.XLOOKUP(H43,Table7[Ár],Table7[7300 Fjarðabyggð])</f>
        <v>2983392</v>
      </c>
      <c r="J46" s="8">
        <f>_xlfn.XLOOKUP(H43,Table7[Ár],Table7[7400 Múlaþing])</f>
        <v>2746428</v>
      </c>
      <c r="K46" s="9">
        <f>_xlfn.XLOOKUP(H43,Table7[Ár],Table7[7502 Vopnafjarðarhreppur])</f>
        <v>417449</v>
      </c>
      <c r="L46" s="31">
        <f>_xlfn.XLOOKUP(H43,Table7[Ár],Table7[7505 Fljótsdalshreppur])</f>
        <v>64617</v>
      </c>
    </row>
    <row r="47" spans="2:14">
      <c r="B47" s="30" t="s">
        <v>10</v>
      </c>
      <c r="C47" s="8">
        <f>_xlfn.XLOOKUP(B43,Table10[Ár],Table10[7300 Fjarðabyggð])</f>
        <v>649571</v>
      </c>
      <c r="D47" s="9">
        <f>_xlfn.XLOOKUP(B43,Table10[Ár],Table10[7400 Múlaþing])</f>
        <v>309966</v>
      </c>
      <c r="E47" s="9">
        <f>_xlfn.XLOOKUP(B43,Table10[Ár],Table10[7502 Vopnafjarðarhreppur])</f>
        <v>63894</v>
      </c>
      <c r="F47" s="31">
        <f>_xlfn.XLOOKUP(B43,Table10[Ár],Table10[7505 Fljótsdalshreppur])</f>
        <v>-13429</v>
      </c>
      <c r="H47" s="48" t="s">
        <v>26</v>
      </c>
      <c r="I47" s="8">
        <f>_xlfn.XLOOKUP(H43,Table10[Ár],Table10[7300 Fjarðabyggð])</f>
        <v>649571</v>
      </c>
      <c r="J47" s="9">
        <f>_xlfn.XLOOKUP(H43,Table10[Ár],Table10[7400 Múlaþing])</f>
        <v>309966</v>
      </c>
      <c r="K47" s="9">
        <f>_xlfn.XLOOKUP(H43,Table10[Ár],Table10[7502 Vopnafjarðarhreppur])</f>
        <v>63894</v>
      </c>
      <c r="L47" s="31">
        <f>_xlfn.XLOOKUP(H43,Table10[Ár],Table10[7505 Fljótsdalshreppur])</f>
        <v>-13429</v>
      </c>
    </row>
    <row r="48" spans="2:14" ht="15.75" thickBot="1">
      <c r="B48" s="30" t="s">
        <v>11</v>
      </c>
      <c r="C48" s="10">
        <f>_xlfn.XLOOKUP(B43,Table11[Ár],Table11[7300 Fjarðabyggð])</f>
        <v>-8232</v>
      </c>
      <c r="D48" s="11">
        <f>_xlfn.XLOOKUP(B43,Table11[Ár],Table11[7400 Múlaþing])</f>
        <v>0</v>
      </c>
      <c r="E48" s="11">
        <f>_xlfn.XLOOKUP(B43,Table11[Ár],Table11[7502 Vopnafjarðarhreppur])</f>
        <v>60</v>
      </c>
      <c r="F48" s="32">
        <f>_xlfn.XLOOKUP(B43,Table11[Ár],Table11[7505 Fljótsdalshreppur])</f>
        <v>5621</v>
      </c>
      <c r="H48" s="48" t="s">
        <v>27</v>
      </c>
      <c r="I48" s="10">
        <f>_xlfn.XLOOKUP(H43,Table11[Ár],Table11[7300 Fjarðabyggð])</f>
        <v>-8232</v>
      </c>
      <c r="J48" s="11">
        <f>_xlfn.XLOOKUP(H43,Table11[Ár],Table11[7400 Múlaþing])</f>
        <v>0</v>
      </c>
      <c r="K48" s="11">
        <f>_xlfn.XLOOKUP(H43,Table11[Ár],Table11[7502 Vopnafjarðarhreppur])</f>
        <v>60</v>
      </c>
      <c r="L48" s="32">
        <f>_xlfn.XLOOKUP(H43,Table11[Ár],Table11[7505 Fljótsdalshreppur])</f>
        <v>5621</v>
      </c>
    </row>
    <row r="49" spans="2:12">
      <c r="B49" s="33" t="s">
        <v>12</v>
      </c>
      <c r="C49" s="12">
        <f t="shared" ref="C49:F49" si="24">SUMIF(C45:C48,"&lt;0",C45:C48)</f>
        <v>-3930446</v>
      </c>
      <c r="D49" s="13">
        <f t="shared" si="24"/>
        <v>-3194002</v>
      </c>
      <c r="E49" s="13">
        <f t="shared" si="24"/>
        <v>-435532</v>
      </c>
      <c r="F49" s="34">
        <f t="shared" si="24"/>
        <v>-229693</v>
      </c>
      <c r="H49" s="49" t="s">
        <v>28</v>
      </c>
      <c r="I49" s="12">
        <f t="shared" ref="I49:L49" si="25">SUMIF(I45:I48,"&lt;0",I45:I48)</f>
        <v>-3930446</v>
      </c>
      <c r="J49" s="13">
        <f t="shared" si="25"/>
        <v>-3194002</v>
      </c>
      <c r="K49" s="13">
        <f t="shared" si="25"/>
        <v>-435532</v>
      </c>
      <c r="L49" s="34">
        <f t="shared" si="25"/>
        <v>-229693</v>
      </c>
    </row>
    <row r="50" spans="2:12" ht="15.75" thickBot="1">
      <c r="B50" s="35" t="s">
        <v>13</v>
      </c>
      <c r="C50" s="14">
        <f t="shared" ref="C50:F50" si="26">SUMIF(C45:C48,"&gt;0",C45:C48)</f>
        <v>3632963</v>
      </c>
      <c r="D50" s="15">
        <f t="shared" si="26"/>
        <v>3056394</v>
      </c>
      <c r="E50" s="15">
        <f t="shared" si="26"/>
        <v>481403</v>
      </c>
      <c r="F50" s="36">
        <f t="shared" si="26"/>
        <v>70238</v>
      </c>
      <c r="H50" s="50" t="s">
        <v>29</v>
      </c>
      <c r="I50" s="14">
        <f t="shared" ref="I50:L50" si="27">SUMIF(I45:I48,"&gt;0",I45:I48)</f>
        <v>3632963</v>
      </c>
      <c r="J50" s="15">
        <f t="shared" si="27"/>
        <v>3056394</v>
      </c>
      <c r="K50" s="15">
        <f t="shared" si="27"/>
        <v>481403</v>
      </c>
      <c r="L50" s="36">
        <f t="shared" si="27"/>
        <v>70238</v>
      </c>
    </row>
    <row r="51" spans="2:12" ht="16.5" thickTop="1" thickBot="1">
      <c r="B51" s="18" t="s">
        <v>14</v>
      </c>
      <c r="C51" s="16">
        <f>-C49/C50</f>
        <v>1.0818844012449342</v>
      </c>
      <c r="D51" s="16">
        <f t="shared" ref="D51:F51" si="28">-D49/D50</f>
        <v>1.0450229911457751</v>
      </c>
      <c r="E51" s="16">
        <f t="shared" si="28"/>
        <v>0.90471392990903676</v>
      </c>
      <c r="F51" s="17">
        <f t="shared" si="28"/>
        <v>3.2702098579116718</v>
      </c>
      <c r="H51" s="51" t="s">
        <v>30</v>
      </c>
      <c r="I51" s="16">
        <f>-I49/I50</f>
        <v>1.0818844012449342</v>
      </c>
      <c r="J51" s="16">
        <f t="shared" ref="J51:L51" si="29">-J49/J50</f>
        <v>1.0450229911457751</v>
      </c>
      <c r="K51" s="16">
        <f t="shared" si="29"/>
        <v>0.90471392990903676</v>
      </c>
      <c r="L51" s="17">
        <f t="shared" si="29"/>
        <v>3.2702098579116718</v>
      </c>
    </row>
    <row r="52" spans="2:12" ht="7.5" customHeight="1" thickBot="1"/>
    <row r="53" spans="2:12" ht="18.75" thickBot="1">
      <c r="B53" s="56">
        <v>2007</v>
      </c>
      <c r="C53" s="57"/>
      <c r="D53" s="57"/>
      <c r="E53" s="57"/>
      <c r="F53" s="58"/>
      <c r="H53" s="56">
        <v>2007</v>
      </c>
      <c r="I53" s="57"/>
      <c r="J53" s="57"/>
      <c r="K53" s="57"/>
      <c r="L53" s="58"/>
    </row>
    <row r="54" spans="2:12" ht="15.75" thickBot="1">
      <c r="B54" s="26"/>
      <c r="C54" s="23" t="s">
        <v>1</v>
      </c>
      <c r="D54" s="5" t="s">
        <v>15</v>
      </c>
      <c r="E54" s="5" t="s">
        <v>31</v>
      </c>
      <c r="F54" s="27" t="s">
        <v>4</v>
      </c>
      <c r="H54" s="26"/>
      <c r="I54" s="23" t="s">
        <v>1</v>
      </c>
      <c r="J54" s="5" t="s">
        <v>15</v>
      </c>
      <c r="K54" s="5" t="s">
        <v>31</v>
      </c>
      <c r="L54" s="27" t="s">
        <v>4</v>
      </c>
    </row>
    <row r="55" spans="2:12">
      <c r="B55" s="28" t="s">
        <v>2</v>
      </c>
      <c r="C55" s="6">
        <f>_xlfn.XLOOKUP(B53,Table1[Ár],Table1[7300 Fjarðabyggð])</f>
        <v>-4196908</v>
      </c>
      <c r="D55" s="7">
        <f>_xlfn.XLOOKUP(B53,Table1[Ár],Table1[7400 Múlaþing])</f>
        <v>-3483985</v>
      </c>
      <c r="E55" s="7">
        <f>_xlfn.XLOOKUP(B53,Table1[Ár],Table1[7502 Vopnafjarðarhreppur])</f>
        <v>-465816</v>
      </c>
      <c r="F55" s="29">
        <f>_xlfn.XLOOKUP(B53,Table1[Ár],Table1[7505 Fljótsdalshreppur])</f>
        <v>-257666</v>
      </c>
      <c r="H55" s="47" t="s">
        <v>24</v>
      </c>
      <c r="I55" s="6">
        <f>_xlfn.XLOOKUP(H53,Table1[Ár],Table1[7300 Fjarðabyggð])</f>
        <v>-4196908</v>
      </c>
      <c r="J55" s="7">
        <f>_xlfn.XLOOKUP(H53,Table1[Ár],Table1[7400 Múlaþing])</f>
        <v>-3483985</v>
      </c>
      <c r="K55" s="7">
        <f>_xlfn.XLOOKUP(H53,Table1[Ár],Table1[7502 Vopnafjarðarhreppur])</f>
        <v>-465816</v>
      </c>
      <c r="L55" s="29">
        <f>_xlfn.XLOOKUP(H53,Table1[Ár],Table1[7505 Fljótsdalshreppur])</f>
        <v>-257666</v>
      </c>
    </row>
    <row r="56" spans="2:12">
      <c r="B56" s="30" t="s">
        <v>9</v>
      </c>
      <c r="C56" s="8">
        <f>_xlfn.XLOOKUP(B53,Table7[Ár],Table7[7300 Fjarðabyggð])</f>
        <v>3398484</v>
      </c>
      <c r="D56" s="8">
        <f>_xlfn.XLOOKUP(B53,Table7[Ár],Table7[7400 Múlaþing])</f>
        <v>2973361</v>
      </c>
      <c r="E56" s="9">
        <f>_xlfn.XLOOKUP(B53,Table7[Ár],Table7[7502 Vopnafjarðarhreppur])</f>
        <v>418821</v>
      </c>
      <c r="F56" s="31">
        <f>_xlfn.XLOOKUP(B53,Table7[Ár],Table7[7505 Fljótsdalshreppur])</f>
        <v>78330</v>
      </c>
      <c r="H56" s="48" t="s">
        <v>25</v>
      </c>
      <c r="I56" s="8">
        <f>_xlfn.XLOOKUP(H53,Table7[Ár],Table7[7300 Fjarðabyggð])</f>
        <v>3398484</v>
      </c>
      <c r="J56" s="8">
        <f>_xlfn.XLOOKUP(H53,Table7[Ár],Table7[7400 Múlaþing])</f>
        <v>2973361</v>
      </c>
      <c r="K56" s="9">
        <f>_xlfn.XLOOKUP(H53,Table7[Ár],Table7[7502 Vopnafjarðarhreppur])</f>
        <v>418821</v>
      </c>
      <c r="L56" s="31">
        <f>_xlfn.XLOOKUP(H53,Table7[Ár],Table7[7505 Fljótsdalshreppur])</f>
        <v>78330</v>
      </c>
    </row>
    <row r="57" spans="2:12">
      <c r="B57" s="30" t="s">
        <v>10</v>
      </c>
      <c r="C57" s="8">
        <f>_xlfn.XLOOKUP(B53,Table10[Ár],Table10[7300 Fjarðabyggð])</f>
        <v>284586</v>
      </c>
      <c r="D57" s="9">
        <f>_xlfn.XLOOKUP(B53,Table10[Ár],Table10[7400 Múlaþing])</f>
        <v>293603</v>
      </c>
      <c r="E57" s="9">
        <f>_xlfn.XLOOKUP(B53,Table10[Ár],Table10[7502 Vopnafjarðarhreppur])</f>
        <v>32729</v>
      </c>
      <c r="F57" s="31">
        <f>_xlfn.XLOOKUP(B53,Table10[Ár],Table10[7505 Fljótsdalshreppur])</f>
        <v>-22865</v>
      </c>
      <c r="H57" s="48" t="s">
        <v>26</v>
      </c>
      <c r="I57" s="8">
        <f>_xlfn.XLOOKUP(H53,Table10[Ár],Table10[7300 Fjarðabyggð])</f>
        <v>284586</v>
      </c>
      <c r="J57" s="9">
        <f>_xlfn.XLOOKUP(H53,Table10[Ár],Table10[7400 Múlaþing])</f>
        <v>293603</v>
      </c>
      <c r="K57" s="9">
        <f>_xlfn.XLOOKUP(H53,Table10[Ár],Table10[7502 Vopnafjarðarhreppur])</f>
        <v>32729</v>
      </c>
      <c r="L57" s="31">
        <f>_xlfn.XLOOKUP(H53,Table10[Ár],Table10[7505 Fljótsdalshreppur])</f>
        <v>-22865</v>
      </c>
    </row>
    <row r="58" spans="2:12" ht="15.75" thickBot="1">
      <c r="B58" s="30" t="s">
        <v>11</v>
      </c>
      <c r="C58" s="10">
        <f>_xlfn.XLOOKUP(B53,Table11[Ár],Table11[7300 Fjarðabyggð])</f>
        <v>2318</v>
      </c>
      <c r="D58" s="11">
        <f>_xlfn.XLOOKUP(B53,Table11[Ár],Table11[7400 Múlaþing])</f>
        <v>25988</v>
      </c>
      <c r="E58" s="11">
        <f>_xlfn.XLOOKUP(B53,Table11[Ár],Table11[7502 Vopnafjarðarhreppur])</f>
        <v>0</v>
      </c>
      <c r="F58" s="32">
        <f>_xlfn.XLOOKUP(B53,Table11[Ár],Table11[7505 Fljótsdalshreppur])</f>
        <v>0</v>
      </c>
      <c r="H58" s="48" t="s">
        <v>27</v>
      </c>
      <c r="I58" s="10">
        <f>_xlfn.XLOOKUP(H53,Table11[Ár],Table11[7300 Fjarðabyggð])</f>
        <v>2318</v>
      </c>
      <c r="J58" s="11">
        <f>_xlfn.XLOOKUP(H53,Table11[Ár],Table11[7400 Múlaþing])</f>
        <v>25988</v>
      </c>
      <c r="K58" s="11">
        <f>_xlfn.XLOOKUP(H53,Table11[Ár],Table11[7502 Vopnafjarðarhreppur])</f>
        <v>0</v>
      </c>
      <c r="L58" s="32">
        <f>_xlfn.XLOOKUP(H53,Table11[Ár],Table11[7505 Fljótsdalshreppur])</f>
        <v>0</v>
      </c>
    </row>
    <row r="59" spans="2:12">
      <c r="B59" s="33" t="s">
        <v>12</v>
      </c>
      <c r="C59" s="12">
        <f t="shared" ref="C59:F59" si="30">SUMIF(C55:C58,"&lt;0",C55:C58)</f>
        <v>-4196908</v>
      </c>
      <c r="D59" s="13">
        <f t="shared" si="30"/>
        <v>-3483985</v>
      </c>
      <c r="E59" s="13">
        <f t="shared" si="30"/>
        <v>-465816</v>
      </c>
      <c r="F59" s="34">
        <f t="shared" si="30"/>
        <v>-280531</v>
      </c>
      <c r="H59" s="49" t="s">
        <v>28</v>
      </c>
      <c r="I59" s="12">
        <f t="shared" ref="I59:L59" si="31">SUMIF(I55:I58,"&lt;0",I55:I58)</f>
        <v>-4196908</v>
      </c>
      <c r="J59" s="13">
        <f t="shared" si="31"/>
        <v>-3483985</v>
      </c>
      <c r="K59" s="13">
        <f t="shared" si="31"/>
        <v>-465816</v>
      </c>
      <c r="L59" s="34">
        <f t="shared" si="31"/>
        <v>-280531</v>
      </c>
    </row>
    <row r="60" spans="2:12" ht="15.75" thickBot="1">
      <c r="B60" s="35" t="s">
        <v>13</v>
      </c>
      <c r="C60" s="14">
        <f t="shared" ref="C60:F60" si="32">SUMIF(C55:C58,"&gt;0",C55:C58)</f>
        <v>3685388</v>
      </c>
      <c r="D60" s="15">
        <f t="shared" si="32"/>
        <v>3292952</v>
      </c>
      <c r="E60" s="15">
        <f t="shared" si="32"/>
        <v>451550</v>
      </c>
      <c r="F60" s="36">
        <f t="shared" si="32"/>
        <v>78330</v>
      </c>
      <c r="H60" s="50" t="s">
        <v>29</v>
      </c>
      <c r="I60" s="14">
        <f t="shared" ref="I60:L60" si="33">SUMIF(I55:I58,"&gt;0",I55:I58)</f>
        <v>3685388</v>
      </c>
      <c r="J60" s="15">
        <f t="shared" si="33"/>
        <v>3292952</v>
      </c>
      <c r="K60" s="15">
        <f t="shared" si="33"/>
        <v>451550</v>
      </c>
      <c r="L60" s="36">
        <f t="shared" si="33"/>
        <v>78330</v>
      </c>
    </row>
    <row r="61" spans="2:12" ht="16.5" thickTop="1" thickBot="1">
      <c r="B61" s="18" t="s">
        <v>14</v>
      </c>
      <c r="C61" s="16">
        <f>-C59/C60</f>
        <v>1.1387967834051667</v>
      </c>
      <c r="D61" s="16">
        <f t="shared" ref="D61:F61" si="34">-D59/D60</f>
        <v>1.0580126889186359</v>
      </c>
      <c r="E61" s="16">
        <f t="shared" si="34"/>
        <v>1.0315934005093566</v>
      </c>
      <c r="F61" s="17">
        <f t="shared" si="34"/>
        <v>3.5813992084769564</v>
      </c>
      <c r="H61" s="51" t="s">
        <v>30</v>
      </c>
      <c r="I61" s="16">
        <f>-I59/I60</f>
        <v>1.1387967834051667</v>
      </c>
      <c r="J61" s="16">
        <f t="shared" ref="J61:L61" si="35">-J59/J60</f>
        <v>1.0580126889186359</v>
      </c>
      <c r="K61" s="16">
        <f t="shared" si="35"/>
        <v>1.0315934005093566</v>
      </c>
      <c r="L61" s="17">
        <f t="shared" si="35"/>
        <v>3.5813992084769564</v>
      </c>
    </row>
    <row r="62" spans="2:12" ht="18" customHeight="1" thickBot="1"/>
    <row r="63" spans="2:12" ht="15.75" thickBot="1">
      <c r="B63" s="60" t="s">
        <v>20</v>
      </c>
      <c r="C63" s="61"/>
      <c r="D63" s="61"/>
      <c r="E63" s="61"/>
      <c r="F63" s="22" t="s">
        <v>21</v>
      </c>
      <c r="H63" s="60" t="s">
        <v>22</v>
      </c>
      <c r="I63" s="61"/>
      <c r="J63" s="61"/>
      <c r="K63" s="61"/>
      <c r="L63" s="22" t="s">
        <v>23</v>
      </c>
    </row>
    <row r="64" spans="2:12" ht="18.75" thickBot="1">
      <c r="B64" s="56">
        <v>2008</v>
      </c>
      <c r="C64" s="57"/>
      <c r="D64" s="57"/>
      <c r="E64" s="57"/>
      <c r="F64" s="58"/>
      <c r="H64" s="56">
        <f>B64</f>
        <v>2008</v>
      </c>
      <c r="I64" s="57"/>
      <c r="J64" s="57"/>
      <c r="K64" s="57"/>
      <c r="L64" s="58"/>
    </row>
    <row r="65" spans="2:12" ht="15.75" thickBot="1">
      <c r="B65" s="26"/>
      <c r="C65" s="23" t="s">
        <v>1</v>
      </c>
      <c r="D65" s="5" t="s">
        <v>15</v>
      </c>
      <c r="E65" s="5" t="s">
        <v>31</v>
      </c>
      <c r="F65" s="27" t="s">
        <v>4</v>
      </c>
      <c r="H65" s="26"/>
      <c r="I65" s="23" t="s">
        <v>1</v>
      </c>
      <c r="J65" s="5" t="s">
        <v>15</v>
      </c>
      <c r="K65" s="5" t="s">
        <v>31</v>
      </c>
      <c r="L65" s="27" t="s">
        <v>4</v>
      </c>
    </row>
    <row r="66" spans="2:12">
      <c r="B66" s="28" t="s">
        <v>2</v>
      </c>
      <c r="C66" s="6">
        <f>_xlfn.XLOOKUP(B64,Table1[Ár],Table1[7300 Fjarðabyggð])</f>
        <v>-4255808</v>
      </c>
      <c r="D66" s="7">
        <f>_xlfn.XLOOKUP(B64,Table1[Ár],Table1[7400 Múlaþing])</f>
        <v>-3239550</v>
      </c>
      <c r="E66" s="7">
        <f>_xlfn.XLOOKUP(B64,Table1[Ár],Table1[7502 Vopnafjarðarhreppur])</f>
        <v>-507521</v>
      </c>
      <c r="F66" s="29">
        <f>_xlfn.XLOOKUP(B64,Table1[Ár],Table1[7505 Fljótsdalshreppur])</f>
        <v>-206866</v>
      </c>
      <c r="H66" s="28" t="s">
        <v>24</v>
      </c>
      <c r="I66" s="6">
        <f>_xlfn.XLOOKUP(H64,Table1[Ár],Table1[7300 Fjarðabyggð])</f>
        <v>-4255808</v>
      </c>
      <c r="J66" s="7">
        <f>_xlfn.XLOOKUP(H64,Table1[Ár],Table1[7400 Múlaþing])</f>
        <v>-3239550</v>
      </c>
      <c r="K66" s="7">
        <f>_xlfn.XLOOKUP(H64,Table1[Ár],Table1[7502 Vopnafjarðarhreppur])</f>
        <v>-507521</v>
      </c>
      <c r="L66" s="29">
        <f>_xlfn.XLOOKUP(H64,Table1[Ár],Table1[7505 Fljótsdalshreppur])</f>
        <v>-206866</v>
      </c>
    </row>
    <row r="67" spans="2:12">
      <c r="B67" s="30" t="s">
        <v>9</v>
      </c>
      <c r="C67" s="8">
        <f>_xlfn.XLOOKUP(B64,Table7[Ár],Table7[7300 Fjarðabyggð])</f>
        <v>3799774</v>
      </c>
      <c r="D67" s="8">
        <f>_xlfn.XLOOKUP(B64,Table7[Ár],Table7[7400 Múlaþing])</f>
        <v>3271433</v>
      </c>
      <c r="E67" s="9">
        <f>_xlfn.XLOOKUP(B64,Table7[Ár],Table7[7502 Vopnafjarðarhreppur])</f>
        <v>436908</v>
      </c>
      <c r="F67" s="31">
        <f>_xlfn.XLOOKUP(B64,Table7[Ár],Table7[7505 Fljótsdalshreppur])</f>
        <v>109322</v>
      </c>
      <c r="H67" s="30" t="s">
        <v>25</v>
      </c>
      <c r="I67" s="8">
        <f>_xlfn.XLOOKUP(H64,Table7[Ár],Table7[7300 Fjarðabyggð])</f>
        <v>3799774</v>
      </c>
      <c r="J67" s="8">
        <f>_xlfn.XLOOKUP(H64,Table7[Ár],Table7[7400 Múlaþing])</f>
        <v>3271433</v>
      </c>
      <c r="K67" s="9">
        <f>_xlfn.XLOOKUP(H64,Table7[Ár],Table7[7502 Vopnafjarðarhreppur])</f>
        <v>436908</v>
      </c>
      <c r="L67" s="31">
        <f>_xlfn.XLOOKUP(H64,Table7[Ár],Table7[7505 Fljótsdalshreppur])</f>
        <v>109322</v>
      </c>
    </row>
    <row r="68" spans="2:12">
      <c r="B68" s="30" t="s">
        <v>10</v>
      </c>
      <c r="C68" s="8">
        <f>_xlfn.XLOOKUP(B64,Table10[Ár],Table10[7300 Fjarðabyggð])</f>
        <v>2045494</v>
      </c>
      <c r="D68" s="9">
        <f>_xlfn.XLOOKUP(B64,Table10[Ár],Table10[7400 Múlaþing])</f>
        <v>974243</v>
      </c>
      <c r="E68" s="9">
        <f>_xlfn.XLOOKUP(B64,Table10[Ár],Table10[7502 Vopnafjarðarhreppur])</f>
        <v>198206</v>
      </c>
      <c r="F68" s="31">
        <f>_xlfn.XLOOKUP(B64,Table10[Ár],Table10[7505 Fljótsdalshreppur])</f>
        <v>4084</v>
      </c>
      <c r="H68" s="30" t="s">
        <v>26</v>
      </c>
      <c r="I68" s="8">
        <f>_xlfn.XLOOKUP(H64,Table10[Ár],Table10[7300 Fjarðabyggð])</f>
        <v>2045494</v>
      </c>
      <c r="J68" s="9">
        <f>_xlfn.XLOOKUP(H64,Table10[Ár],Table10[7400 Múlaþing])</f>
        <v>974243</v>
      </c>
      <c r="K68" s="9">
        <f>_xlfn.XLOOKUP(H64,Table10[Ár],Table10[7502 Vopnafjarðarhreppur])</f>
        <v>198206</v>
      </c>
      <c r="L68" s="31">
        <f>_xlfn.XLOOKUP(H64,Table10[Ár],Table10[7505 Fljótsdalshreppur])</f>
        <v>4084</v>
      </c>
    </row>
    <row r="69" spans="2:12" ht="15.75" thickBot="1">
      <c r="B69" s="30" t="s">
        <v>11</v>
      </c>
      <c r="C69" s="10">
        <f>_xlfn.XLOOKUP(B64,Table11[Ár],Table11[7300 Fjarðabyggð])</f>
        <v>2536</v>
      </c>
      <c r="D69" s="11">
        <f>_xlfn.XLOOKUP(B64,Table11[Ár],Table11[7400 Múlaþing])</f>
        <v>5690</v>
      </c>
      <c r="E69" s="11">
        <f>_xlfn.XLOOKUP(B64,Table11[Ár],Table11[7502 Vopnafjarðarhreppur])</f>
        <v>0</v>
      </c>
      <c r="F69" s="32">
        <f>_xlfn.XLOOKUP(B64,Table11[Ár],Table11[7505 Fljótsdalshreppur])</f>
        <v>1550</v>
      </c>
      <c r="H69" s="30" t="s">
        <v>27</v>
      </c>
      <c r="I69" s="10">
        <f>_xlfn.XLOOKUP(H64,Table11[Ár],Table11[7300 Fjarðabyggð])</f>
        <v>2536</v>
      </c>
      <c r="J69" s="11">
        <f>_xlfn.XLOOKUP(H64,Table11[Ár],Table11[7400 Múlaþing])</f>
        <v>5690</v>
      </c>
      <c r="K69" s="11">
        <f>_xlfn.XLOOKUP(H64,Table11[Ár],Table11[7502 Vopnafjarðarhreppur])</f>
        <v>0</v>
      </c>
      <c r="L69" s="32">
        <f>_xlfn.XLOOKUP(H64,Table11[Ár],Table11[7505 Fljótsdalshreppur])</f>
        <v>1550</v>
      </c>
    </row>
    <row r="70" spans="2:12">
      <c r="B70" s="33" t="s">
        <v>12</v>
      </c>
      <c r="C70" s="12">
        <f t="shared" ref="C70:F70" si="36">SUMIF(C66:C69,"&lt;0",C66:C69)</f>
        <v>-4255808</v>
      </c>
      <c r="D70" s="13">
        <f t="shared" si="36"/>
        <v>-3239550</v>
      </c>
      <c r="E70" s="13">
        <f t="shared" si="36"/>
        <v>-507521</v>
      </c>
      <c r="F70" s="34">
        <f t="shared" si="36"/>
        <v>-206866</v>
      </c>
      <c r="H70" s="33" t="s">
        <v>28</v>
      </c>
      <c r="I70" s="12">
        <f t="shared" ref="I70:L70" si="37">SUMIF(I66:I69,"&lt;0",I66:I69)</f>
        <v>-4255808</v>
      </c>
      <c r="J70" s="13">
        <f t="shared" si="37"/>
        <v>-3239550</v>
      </c>
      <c r="K70" s="13">
        <f t="shared" si="37"/>
        <v>-507521</v>
      </c>
      <c r="L70" s="34">
        <f t="shared" si="37"/>
        <v>-206866</v>
      </c>
    </row>
    <row r="71" spans="2:12" ht="15.75" thickBot="1">
      <c r="B71" s="35" t="s">
        <v>13</v>
      </c>
      <c r="C71" s="14">
        <f t="shared" ref="C71:F71" si="38">SUMIF(C66:C69,"&gt;0",C66:C69)</f>
        <v>5847804</v>
      </c>
      <c r="D71" s="15">
        <f t="shared" si="38"/>
        <v>4251366</v>
      </c>
      <c r="E71" s="15">
        <f t="shared" si="38"/>
        <v>635114</v>
      </c>
      <c r="F71" s="36">
        <f t="shared" si="38"/>
        <v>114956</v>
      </c>
      <c r="H71" s="35" t="s">
        <v>29</v>
      </c>
      <c r="I71" s="14">
        <f t="shared" ref="I71:L71" si="39">SUMIF(I66:I69,"&gt;0",I66:I69)</f>
        <v>5847804</v>
      </c>
      <c r="J71" s="15">
        <f t="shared" si="39"/>
        <v>4251366</v>
      </c>
      <c r="K71" s="15">
        <f t="shared" si="39"/>
        <v>635114</v>
      </c>
      <c r="L71" s="36">
        <f t="shared" si="39"/>
        <v>114956</v>
      </c>
    </row>
    <row r="72" spans="2:12" ht="16.5" customHeight="1" thickTop="1" thickBot="1">
      <c r="B72" s="18" t="s">
        <v>14</v>
      </c>
      <c r="C72" s="16">
        <f>-C70/C71</f>
        <v>0.72776173756849583</v>
      </c>
      <c r="D72" s="16">
        <f t="shared" ref="D72:F72" si="40">-D70/D71</f>
        <v>0.76200214237024055</v>
      </c>
      <c r="E72" s="16">
        <f t="shared" si="40"/>
        <v>0.79910220842242496</v>
      </c>
      <c r="F72" s="17">
        <f t="shared" si="40"/>
        <v>1.799523295869724</v>
      </c>
      <c r="H72" s="41" t="s">
        <v>30</v>
      </c>
      <c r="I72" s="16">
        <f>-I70/I71</f>
        <v>0.72776173756849583</v>
      </c>
      <c r="J72" s="16">
        <f t="shared" ref="J72:L72" si="41">-J70/J71</f>
        <v>0.76200214237024055</v>
      </c>
      <c r="K72" s="16">
        <f t="shared" si="41"/>
        <v>0.79910220842242496</v>
      </c>
      <c r="L72" s="17">
        <f t="shared" si="41"/>
        <v>1.799523295869724</v>
      </c>
    </row>
    <row r="73" spans="2:12" ht="15.75" thickBot="1"/>
    <row r="74" spans="2:12" ht="18.75" thickBot="1">
      <c r="B74" s="56">
        <v>2009</v>
      </c>
      <c r="C74" s="57"/>
      <c r="D74" s="57"/>
      <c r="E74" s="57"/>
      <c r="F74" s="58"/>
      <c r="H74" s="56">
        <f>B74</f>
        <v>2009</v>
      </c>
      <c r="I74" s="57"/>
      <c r="J74" s="57"/>
      <c r="K74" s="57"/>
      <c r="L74" s="58"/>
    </row>
    <row r="75" spans="2:12" ht="15.75" thickBot="1">
      <c r="B75" s="26"/>
      <c r="C75" s="23" t="s">
        <v>1</v>
      </c>
      <c r="D75" s="5" t="s">
        <v>15</v>
      </c>
      <c r="E75" s="5" t="s">
        <v>31</v>
      </c>
      <c r="F75" s="27" t="s">
        <v>4</v>
      </c>
      <c r="H75" s="26"/>
      <c r="I75" s="23" t="s">
        <v>1</v>
      </c>
      <c r="J75" s="5" t="s">
        <v>15</v>
      </c>
      <c r="K75" s="5" t="s">
        <v>31</v>
      </c>
      <c r="L75" s="27" t="s">
        <v>4</v>
      </c>
    </row>
    <row r="76" spans="2:12">
      <c r="B76" s="28" t="s">
        <v>2</v>
      </c>
      <c r="C76" s="6">
        <f>_xlfn.XLOOKUP(B74,Table1[Ár],Table1[7300 Fjarðabyggð])</f>
        <v>-4264988</v>
      </c>
      <c r="D76" s="7">
        <f>_xlfn.XLOOKUP(B74,Table1[Ár],Table1[7400 Múlaþing])</f>
        <v>-3452314</v>
      </c>
      <c r="E76" s="7">
        <f>_xlfn.XLOOKUP(B74,Table1[Ár],Table1[7502 Vopnafjarðarhreppur])</f>
        <v>-537715</v>
      </c>
      <c r="F76" s="29">
        <f>_xlfn.XLOOKUP(B74,Table1[Ár],Table1[7505 Fljótsdalshreppur])</f>
        <v>-171727</v>
      </c>
      <c r="H76" s="28" t="s">
        <v>24</v>
      </c>
      <c r="I76" s="6">
        <f>_xlfn.XLOOKUP(H74,Table1[Ár],Table1[7300 Fjarðabyggð])</f>
        <v>-4264988</v>
      </c>
      <c r="J76" s="7">
        <f>_xlfn.XLOOKUP(H74,Table1[Ár],Table1[7400 Múlaþing])</f>
        <v>-3452314</v>
      </c>
      <c r="K76" s="7">
        <f>_xlfn.XLOOKUP(H74,Table1[Ár],Table1[7502 Vopnafjarðarhreppur])</f>
        <v>-537715</v>
      </c>
      <c r="L76" s="29">
        <f>_xlfn.XLOOKUP(H74,Table1[Ár],Table1[7505 Fljótsdalshreppur])</f>
        <v>-171727</v>
      </c>
    </row>
    <row r="77" spans="2:12">
      <c r="B77" s="30" t="s">
        <v>9</v>
      </c>
      <c r="C77" s="8">
        <f>_xlfn.XLOOKUP(B74,Table7[Ár],Table7[7300 Fjarðabyggð])</f>
        <v>3900288</v>
      </c>
      <c r="D77" s="8">
        <f>_xlfn.XLOOKUP(B74,Table7[Ár],Table7[7400 Múlaþing])</f>
        <v>3373640</v>
      </c>
      <c r="E77" s="9">
        <f>_xlfn.XLOOKUP(B74,Table7[Ár],Table7[7502 Vopnafjarðarhreppur])</f>
        <v>452392</v>
      </c>
      <c r="F77" s="31">
        <f>_xlfn.XLOOKUP(B74,Table7[Ár],Table7[7505 Fljótsdalshreppur])</f>
        <v>111201</v>
      </c>
      <c r="H77" s="30" t="s">
        <v>25</v>
      </c>
      <c r="I77" s="8">
        <f>_xlfn.XLOOKUP(H74,Table7[Ár],Table7[7300 Fjarðabyggð])</f>
        <v>3900288</v>
      </c>
      <c r="J77" s="8">
        <f>_xlfn.XLOOKUP(H74,Table7[Ár],Table7[7400 Múlaþing])</f>
        <v>3373640</v>
      </c>
      <c r="K77" s="9">
        <f>_xlfn.XLOOKUP(H74,Table7[Ár],Table7[7502 Vopnafjarðarhreppur])</f>
        <v>452392</v>
      </c>
      <c r="L77" s="31">
        <f>_xlfn.XLOOKUP(H74,Table7[Ár],Table7[7505 Fljótsdalshreppur])</f>
        <v>111201</v>
      </c>
    </row>
    <row r="78" spans="2:12">
      <c r="B78" s="30" t="s">
        <v>10</v>
      </c>
      <c r="C78" s="8">
        <f>_xlfn.XLOOKUP(B74,Table10[Ár],Table10[7300 Fjarðabyggð])</f>
        <v>971693</v>
      </c>
      <c r="D78" s="9">
        <f>_xlfn.XLOOKUP(B74,Table10[Ár],Table10[7400 Múlaþing])</f>
        <v>644397</v>
      </c>
      <c r="E78" s="9">
        <f>_xlfn.XLOOKUP(B74,Table10[Ár],Table10[7502 Vopnafjarðarhreppur])</f>
        <v>130805</v>
      </c>
      <c r="F78" s="31">
        <f>_xlfn.XLOOKUP(B74,Table10[Ár],Table10[7505 Fljótsdalshreppur])</f>
        <v>-52622</v>
      </c>
      <c r="H78" s="30" t="s">
        <v>26</v>
      </c>
      <c r="I78" s="8">
        <f>_xlfn.XLOOKUP(H74,Table10[Ár],Table10[7300 Fjarðabyggð])</f>
        <v>971693</v>
      </c>
      <c r="J78" s="9">
        <f>_xlfn.XLOOKUP(H74,Table10[Ár],Table10[7400 Múlaþing])</f>
        <v>644397</v>
      </c>
      <c r="K78" s="9">
        <f>_xlfn.XLOOKUP(H74,Table10[Ár],Table10[7502 Vopnafjarðarhreppur])</f>
        <v>130805</v>
      </c>
      <c r="L78" s="31">
        <f>_xlfn.XLOOKUP(H74,Table10[Ár],Table10[7505 Fljótsdalshreppur])</f>
        <v>-52622</v>
      </c>
    </row>
    <row r="79" spans="2:12" ht="15.75" thickBot="1">
      <c r="B79" s="30" t="s">
        <v>11</v>
      </c>
      <c r="C79" s="10">
        <f>_xlfn.XLOOKUP(B74,Table11[Ár],Table11[7300 Fjarðabyggð])</f>
        <v>-1686</v>
      </c>
      <c r="D79" s="11">
        <f>_xlfn.XLOOKUP(B74,Table11[Ár],Table11[7400 Múlaþing])</f>
        <v>-7838</v>
      </c>
      <c r="E79" s="11">
        <f>_xlfn.XLOOKUP(B74,Table11[Ár],Table11[7502 Vopnafjarðarhreppur])</f>
        <v>0</v>
      </c>
      <c r="F79" s="32">
        <f>_xlfn.XLOOKUP(B74,Table11[Ár],Table11[7505 Fljótsdalshreppur])</f>
        <v>3308</v>
      </c>
      <c r="H79" s="30" t="s">
        <v>27</v>
      </c>
      <c r="I79" s="10">
        <f>_xlfn.XLOOKUP(H74,Table11[Ár],Table11[7300 Fjarðabyggð])</f>
        <v>-1686</v>
      </c>
      <c r="J79" s="11">
        <f>_xlfn.XLOOKUP(H74,Table11[Ár],Table11[7400 Múlaþing])</f>
        <v>-7838</v>
      </c>
      <c r="K79" s="11">
        <f>_xlfn.XLOOKUP(H74,Table11[Ár],Table11[7502 Vopnafjarðarhreppur])</f>
        <v>0</v>
      </c>
      <c r="L79" s="32">
        <f>_xlfn.XLOOKUP(H74,Table11[Ár],Table11[7505 Fljótsdalshreppur])</f>
        <v>3308</v>
      </c>
    </row>
    <row r="80" spans="2:12">
      <c r="B80" s="33" t="s">
        <v>12</v>
      </c>
      <c r="C80" s="12">
        <f t="shared" ref="C80:F80" si="42">SUMIF(C76:C79,"&lt;0",C76:C79)</f>
        <v>-4266674</v>
      </c>
      <c r="D80" s="13">
        <f t="shared" si="42"/>
        <v>-3460152</v>
      </c>
      <c r="E80" s="13">
        <f t="shared" si="42"/>
        <v>-537715</v>
      </c>
      <c r="F80" s="34">
        <f t="shared" si="42"/>
        <v>-224349</v>
      </c>
      <c r="H80" s="33" t="s">
        <v>28</v>
      </c>
      <c r="I80" s="12">
        <f t="shared" ref="I80:L80" si="43">SUMIF(I76:I79,"&lt;0",I76:I79)</f>
        <v>-4266674</v>
      </c>
      <c r="J80" s="13">
        <f t="shared" si="43"/>
        <v>-3460152</v>
      </c>
      <c r="K80" s="13">
        <f t="shared" si="43"/>
        <v>-537715</v>
      </c>
      <c r="L80" s="34">
        <f t="shared" si="43"/>
        <v>-224349</v>
      </c>
    </row>
    <row r="81" spans="2:12" ht="15.75" thickBot="1">
      <c r="B81" s="35" t="s">
        <v>13</v>
      </c>
      <c r="C81" s="14">
        <f t="shared" ref="C81:F81" si="44">SUMIF(C76:C79,"&gt;0",C76:C79)</f>
        <v>4871981</v>
      </c>
      <c r="D81" s="15">
        <f t="shared" si="44"/>
        <v>4018037</v>
      </c>
      <c r="E81" s="15">
        <f t="shared" si="44"/>
        <v>583197</v>
      </c>
      <c r="F81" s="36">
        <f t="shared" si="44"/>
        <v>114509</v>
      </c>
      <c r="H81" s="35" t="s">
        <v>29</v>
      </c>
      <c r="I81" s="14">
        <f t="shared" ref="I81:L81" si="45">SUMIF(I76:I79,"&gt;0",I76:I79)</f>
        <v>4871981</v>
      </c>
      <c r="J81" s="15">
        <f t="shared" si="45"/>
        <v>4018037</v>
      </c>
      <c r="K81" s="15">
        <f t="shared" si="45"/>
        <v>583197</v>
      </c>
      <c r="L81" s="36">
        <f t="shared" si="45"/>
        <v>114509</v>
      </c>
    </row>
    <row r="82" spans="2:12" ht="16.5" customHeight="1" thickTop="1" thickBot="1">
      <c r="B82" s="18" t="s">
        <v>14</v>
      </c>
      <c r="C82" s="16">
        <f>-C80/C81</f>
        <v>0.87575752040083898</v>
      </c>
      <c r="D82" s="16">
        <f t="shared" ref="D82:F82" si="46">-D80/D81</f>
        <v>0.86115483754878319</v>
      </c>
      <c r="E82" s="16">
        <f t="shared" si="46"/>
        <v>0.92201263038047176</v>
      </c>
      <c r="F82" s="17">
        <f t="shared" si="46"/>
        <v>1.9592259123736999</v>
      </c>
      <c r="H82" s="41" t="s">
        <v>30</v>
      </c>
      <c r="I82" s="16">
        <f>-I80/I81</f>
        <v>0.87575752040083898</v>
      </c>
      <c r="J82" s="16">
        <f t="shared" ref="J82:L82" si="47">-J80/J81</f>
        <v>0.86115483754878319</v>
      </c>
      <c r="K82" s="16">
        <f t="shared" si="47"/>
        <v>0.92201263038047176</v>
      </c>
      <c r="L82" s="17">
        <f t="shared" si="47"/>
        <v>1.9592259123736999</v>
      </c>
    </row>
    <row r="83" spans="2:12" ht="18.75" customHeight="1" thickBot="1"/>
    <row r="84" spans="2:12" ht="18.75" thickBot="1">
      <c r="B84" s="56">
        <v>2010</v>
      </c>
      <c r="C84" s="57"/>
      <c r="D84" s="57"/>
      <c r="E84" s="57"/>
      <c r="F84" s="58"/>
      <c r="H84" s="56">
        <f>B84</f>
        <v>2010</v>
      </c>
      <c r="I84" s="57"/>
      <c r="J84" s="57"/>
      <c r="K84" s="57"/>
      <c r="L84" s="58"/>
    </row>
    <row r="85" spans="2:12" ht="15.75" thickBot="1">
      <c r="B85" s="26"/>
      <c r="C85" s="23" t="s">
        <v>1</v>
      </c>
      <c r="D85" s="5" t="s">
        <v>15</v>
      </c>
      <c r="E85" s="5" t="s">
        <v>31</v>
      </c>
      <c r="F85" s="27" t="s">
        <v>4</v>
      </c>
      <c r="H85" s="26"/>
      <c r="I85" s="23" t="s">
        <v>1</v>
      </c>
      <c r="J85" s="5" t="s">
        <v>15</v>
      </c>
      <c r="K85" s="5" t="s">
        <v>31</v>
      </c>
      <c r="L85" s="27" t="s">
        <v>4</v>
      </c>
    </row>
    <row r="86" spans="2:12">
      <c r="B86" s="28" t="s">
        <v>2</v>
      </c>
      <c r="C86" s="6">
        <f>_xlfn.XLOOKUP(B84,Table1[Ár],Table1[7300 Fjarðabyggð])</f>
        <v>-4542969</v>
      </c>
      <c r="D86" s="7">
        <f>_xlfn.XLOOKUP(B84,Table1[Ár],Table1[7400 Múlaþing])</f>
        <v>-3480072</v>
      </c>
      <c r="E86" s="7">
        <f>_xlfn.XLOOKUP(B84,Table1[Ár],Table1[7502 Vopnafjarðarhreppur])</f>
        <v>-574570</v>
      </c>
      <c r="F86" s="29">
        <f>_xlfn.XLOOKUP(B84,Table1[Ár],Table1[7505 Fljótsdalshreppur])</f>
        <v>-139237</v>
      </c>
      <c r="H86" s="28" t="s">
        <v>24</v>
      </c>
      <c r="I86" s="6">
        <f>_xlfn.XLOOKUP(H84,Table1[Ár],Table1[7300 Fjarðabyggð])</f>
        <v>-4542969</v>
      </c>
      <c r="J86" s="7">
        <f>_xlfn.XLOOKUP(H84,Table1[Ár],Table1[7400 Múlaþing])</f>
        <v>-3480072</v>
      </c>
      <c r="K86" s="7">
        <f>_xlfn.XLOOKUP(H84,Table1[Ár],Table1[7502 Vopnafjarðarhreppur])</f>
        <v>-574570</v>
      </c>
      <c r="L86" s="29">
        <f>_xlfn.XLOOKUP(H84,Table1[Ár],Table1[7505 Fljótsdalshreppur])</f>
        <v>-139237</v>
      </c>
    </row>
    <row r="87" spans="2:12">
      <c r="B87" s="30" t="s">
        <v>9</v>
      </c>
      <c r="C87" s="8">
        <f>_xlfn.XLOOKUP(B84,Table7[Ár],Table7[7300 Fjarðabyggð])</f>
        <v>3781146</v>
      </c>
      <c r="D87" s="8">
        <f>_xlfn.XLOOKUP(B84,Table7[Ár],Table7[7400 Múlaþing])</f>
        <v>3216467</v>
      </c>
      <c r="E87" s="9">
        <f>_xlfn.XLOOKUP(B84,Table7[Ár],Table7[7502 Vopnafjarðarhreppur])</f>
        <v>474921</v>
      </c>
      <c r="F87" s="31">
        <f>_xlfn.XLOOKUP(B84,Table7[Ár],Table7[7505 Fljótsdalshreppur])</f>
        <v>132680</v>
      </c>
      <c r="H87" s="30" t="s">
        <v>25</v>
      </c>
      <c r="I87" s="8">
        <f>_xlfn.XLOOKUP(H84,Table7[Ár],Table7[7300 Fjarðabyggð])</f>
        <v>3781146</v>
      </c>
      <c r="J87" s="8">
        <f>_xlfn.XLOOKUP(H84,Table7[Ár],Table7[7400 Múlaþing])</f>
        <v>3216467</v>
      </c>
      <c r="K87" s="9">
        <f>_xlfn.XLOOKUP(H84,Table7[Ár],Table7[7502 Vopnafjarðarhreppur])</f>
        <v>474921</v>
      </c>
      <c r="L87" s="31">
        <f>_xlfn.XLOOKUP(H84,Table7[Ár],Table7[7505 Fljótsdalshreppur])</f>
        <v>132680</v>
      </c>
    </row>
    <row r="88" spans="2:12">
      <c r="B88" s="30" t="s">
        <v>10</v>
      </c>
      <c r="C88" s="8">
        <f>_xlfn.XLOOKUP(B84,Table10[Ár],Table10[7300 Fjarðabyggð])</f>
        <v>142311</v>
      </c>
      <c r="D88" s="9">
        <f>_xlfn.XLOOKUP(B84,Table10[Ár],Table10[7400 Múlaþing])</f>
        <v>325789</v>
      </c>
      <c r="E88" s="9">
        <f>_xlfn.XLOOKUP(B84,Table10[Ár],Table10[7502 Vopnafjarðarhreppur])</f>
        <v>57828</v>
      </c>
      <c r="F88" s="31">
        <f>_xlfn.XLOOKUP(B84,Table10[Ár],Table10[7505 Fljótsdalshreppur])</f>
        <v>-20111</v>
      </c>
      <c r="H88" s="30" t="s">
        <v>26</v>
      </c>
      <c r="I88" s="8">
        <f>_xlfn.XLOOKUP(H84,Table10[Ár],Table10[7300 Fjarðabyggð])</f>
        <v>142311</v>
      </c>
      <c r="J88" s="9">
        <f>_xlfn.XLOOKUP(H84,Table10[Ár],Table10[7400 Múlaþing])</f>
        <v>325789</v>
      </c>
      <c r="K88" s="9">
        <f>_xlfn.XLOOKUP(H84,Table10[Ár],Table10[7502 Vopnafjarðarhreppur])</f>
        <v>57828</v>
      </c>
      <c r="L88" s="31">
        <f>_xlfn.XLOOKUP(H84,Table10[Ár],Table10[7505 Fljótsdalshreppur])</f>
        <v>-20111</v>
      </c>
    </row>
    <row r="89" spans="2:12" ht="15.75" thickBot="1">
      <c r="B89" s="30" t="s">
        <v>11</v>
      </c>
      <c r="C89" s="10">
        <f>_xlfn.XLOOKUP(B84,Table11[Ár],Table11[7300 Fjarðabyggð])</f>
        <v>-39994</v>
      </c>
      <c r="D89" s="11">
        <f>_xlfn.XLOOKUP(B84,Table11[Ár],Table11[7400 Múlaþing])</f>
        <v>922</v>
      </c>
      <c r="E89" s="11">
        <f>_xlfn.XLOOKUP(B84,Table11[Ár],Table11[7502 Vopnafjarðarhreppur])</f>
        <v>0</v>
      </c>
      <c r="F89" s="32">
        <f>_xlfn.XLOOKUP(B84,Table11[Ár],Table11[7505 Fljótsdalshreppur])</f>
        <v>4506</v>
      </c>
      <c r="H89" s="30" t="s">
        <v>27</v>
      </c>
      <c r="I89" s="10">
        <f>_xlfn.XLOOKUP(H84,Table11[Ár],Table11[7300 Fjarðabyggð])</f>
        <v>-39994</v>
      </c>
      <c r="J89" s="11">
        <f>_xlfn.XLOOKUP(H84,Table11[Ár],Table11[7400 Múlaþing])</f>
        <v>922</v>
      </c>
      <c r="K89" s="11">
        <f>_xlfn.XLOOKUP(H84,Table11[Ár],Table11[7502 Vopnafjarðarhreppur])</f>
        <v>0</v>
      </c>
      <c r="L89" s="32">
        <f>_xlfn.XLOOKUP(H84,Table11[Ár],Table11[7505 Fljótsdalshreppur])</f>
        <v>4506</v>
      </c>
    </row>
    <row r="90" spans="2:12">
      <c r="B90" s="33" t="s">
        <v>12</v>
      </c>
      <c r="C90" s="12">
        <f t="shared" ref="C90:F90" si="48">SUMIF(C86:C89,"&lt;0",C86:C89)</f>
        <v>-4582963</v>
      </c>
      <c r="D90" s="13">
        <f t="shared" si="48"/>
        <v>-3480072</v>
      </c>
      <c r="E90" s="13">
        <f t="shared" si="48"/>
        <v>-574570</v>
      </c>
      <c r="F90" s="34">
        <f t="shared" si="48"/>
        <v>-159348</v>
      </c>
      <c r="H90" s="33" t="s">
        <v>28</v>
      </c>
      <c r="I90" s="12">
        <f t="shared" ref="I90:L90" si="49">SUMIF(I86:I89,"&lt;0",I86:I89)</f>
        <v>-4582963</v>
      </c>
      <c r="J90" s="13">
        <f t="shared" si="49"/>
        <v>-3480072</v>
      </c>
      <c r="K90" s="13">
        <f t="shared" si="49"/>
        <v>-574570</v>
      </c>
      <c r="L90" s="34">
        <f t="shared" si="49"/>
        <v>-159348</v>
      </c>
    </row>
    <row r="91" spans="2:12" ht="15.75" thickBot="1">
      <c r="B91" s="35" t="s">
        <v>13</v>
      </c>
      <c r="C91" s="14">
        <f t="shared" ref="C91:F91" si="50">SUMIF(C86:C89,"&gt;0",C86:C89)</f>
        <v>3923457</v>
      </c>
      <c r="D91" s="15">
        <f t="shared" si="50"/>
        <v>3543178</v>
      </c>
      <c r="E91" s="15">
        <f t="shared" si="50"/>
        <v>532749</v>
      </c>
      <c r="F91" s="36">
        <f t="shared" si="50"/>
        <v>137186</v>
      </c>
      <c r="H91" s="35" t="s">
        <v>29</v>
      </c>
      <c r="I91" s="14">
        <f t="shared" ref="I91:L91" si="51">SUMIF(I86:I89,"&gt;0",I86:I89)</f>
        <v>3923457</v>
      </c>
      <c r="J91" s="15">
        <f t="shared" si="51"/>
        <v>3543178</v>
      </c>
      <c r="K91" s="15">
        <f t="shared" si="51"/>
        <v>532749</v>
      </c>
      <c r="L91" s="36">
        <f t="shared" si="51"/>
        <v>137186</v>
      </c>
    </row>
    <row r="92" spans="2:12" ht="16.5" customHeight="1" thickTop="1" thickBot="1">
      <c r="B92" s="18" t="s">
        <v>14</v>
      </c>
      <c r="C92" s="16">
        <f>-C90/C91</f>
        <v>1.1680930872952093</v>
      </c>
      <c r="D92" s="16">
        <f t="shared" ref="D92:F92" si="52">-D90/D91</f>
        <v>0.9821894355857933</v>
      </c>
      <c r="E92" s="16">
        <f t="shared" si="52"/>
        <v>1.0785003819810079</v>
      </c>
      <c r="F92" s="17">
        <f t="shared" si="52"/>
        <v>1.1615470966425145</v>
      </c>
      <c r="H92" s="41" t="s">
        <v>30</v>
      </c>
      <c r="I92" s="16">
        <f>-I90/I91</f>
        <v>1.1680930872952093</v>
      </c>
      <c r="J92" s="16">
        <f t="shared" ref="J92:L92" si="53">-J90/J91</f>
        <v>0.9821894355857933</v>
      </c>
      <c r="K92" s="16">
        <f t="shared" si="53"/>
        <v>1.0785003819810079</v>
      </c>
      <c r="L92" s="17">
        <f t="shared" si="53"/>
        <v>1.1615470966425145</v>
      </c>
    </row>
    <row r="93" spans="2:12" ht="15.75" thickBot="1"/>
    <row r="94" spans="2:12" ht="18.75" thickBot="1">
      <c r="B94" s="56">
        <v>2011</v>
      </c>
      <c r="C94" s="57"/>
      <c r="D94" s="57"/>
      <c r="E94" s="57"/>
      <c r="F94" s="58"/>
      <c r="H94" s="56">
        <f>B94</f>
        <v>2011</v>
      </c>
      <c r="I94" s="57"/>
      <c r="J94" s="57"/>
      <c r="K94" s="57"/>
      <c r="L94" s="58"/>
    </row>
    <row r="95" spans="2:12" ht="15.75" thickBot="1">
      <c r="B95" s="26"/>
      <c r="C95" s="23" t="s">
        <v>1</v>
      </c>
      <c r="D95" s="5" t="s">
        <v>15</v>
      </c>
      <c r="E95" s="5" t="s">
        <v>31</v>
      </c>
      <c r="F95" s="27" t="s">
        <v>4</v>
      </c>
      <c r="H95" s="26"/>
      <c r="I95" s="23" t="s">
        <v>1</v>
      </c>
      <c r="J95" s="5" t="s">
        <v>15</v>
      </c>
      <c r="K95" s="5" t="s">
        <v>31</v>
      </c>
      <c r="L95" s="27" t="s">
        <v>4</v>
      </c>
    </row>
    <row r="96" spans="2:12">
      <c r="B96" s="28" t="s">
        <v>2</v>
      </c>
      <c r="C96" s="6">
        <f>_xlfn.XLOOKUP(B94,Table1[Ár],Table1[7300 Fjarðabyggð])</f>
        <v>-4798145</v>
      </c>
      <c r="D96" s="7">
        <f>_xlfn.XLOOKUP(B94,Table1[Ár],Table1[7400 Múlaþing])</f>
        <v>-4061636.664888382</v>
      </c>
      <c r="E96" s="7">
        <f>_xlfn.XLOOKUP(B94,Table1[Ár],Table1[7502 Vopnafjarðarhreppur])</f>
        <v>-616733</v>
      </c>
      <c r="F96" s="29">
        <f>_xlfn.XLOOKUP(B94,Table1[Ár],Table1[7505 Fljótsdalshreppur])</f>
        <v>-157492</v>
      </c>
      <c r="H96" s="28" t="s">
        <v>24</v>
      </c>
      <c r="I96" s="6">
        <f>_xlfn.XLOOKUP(H94,Table1[Ár],Table1[7300 Fjarðabyggð])</f>
        <v>-4798145</v>
      </c>
      <c r="J96" s="7">
        <f>_xlfn.XLOOKUP(H94,Table1[Ár],Table1[7400 Múlaþing])</f>
        <v>-4061636.664888382</v>
      </c>
      <c r="K96" s="7">
        <f>_xlfn.XLOOKUP(H94,Table1[Ár],Table1[7502 Vopnafjarðarhreppur])</f>
        <v>-616733</v>
      </c>
      <c r="L96" s="29">
        <f>_xlfn.XLOOKUP(H94,Table1[Ár],Table1[7505 Fljótsdalshreppur])</f>
        <v>-157492</v>
      </c>
    </row>
    <row r="97" spans="2:12">
      <c r="B97" s="30" t="s">
        <v>9</v>
      </c>
      <c r="C97" s="8">
        <f>_xlfn.XLOOKUP(B94,Table7[Ár],Table7[7300 Fjarðabyggð])</f>
        <v>4066467</v>
      </c>
      <c r="D97" s="8">
        <f>_xlfn.XLOOKUP(B94,Table7[Ár],Table7[7400 Múlaþing])</f>
        <v>3536298.5445480347</v>
      </c>
      <c r="E97" s="9">
        <f>_xlfn.XLOOKUP(B94,Table7[Ár],Table7[7502 Vopnafjarðarhreppur])</f>
        <v>506468</v>
      </c>
      <c r="F97" s="31">
        <f>_xlfn.XLOOKUP(B94,Table7[Ár],Table7[7505 Fljótsdalshreppur])</f>
        <v>149596</v>
      </c>
      <c r="H97" s="30" t="s">
        <v>25</v>
      </c>
      <c r="I97" s="8">
        <f>_xlfn.XLOOKUP(H94,Table7[Ár],Table7[7300 Fjarðabyggð])</f>
        <v>4066467</v>
      </c>
      <c r="J97" s="8">
        <f>_xlfn.XLOOKUP(H94,Table7[Ár],Table7[7400 Múlaþing])</f>
        <v>3536298.5445480347</v>
      </c>
      <c r="K97" s="9">
        <f>_xlfn.XLOOKUP(H94,Table7[Ár],Table7[7502 Vopnafjarðarhreppur])</f>
        <v>506468</v>
      </c>
      <c r="L97" s="31">
        <f>_xlfn.XLOOKUP(H94,Table7[Ár],Table7[7505 Fljótsdalshreppur])</f>
        <v>149596</v>
      </c>
    </row>
    <row r="98" spans="2:12">
      <c r="B98" s="30" t="s">
        <v>10</v>
      </c>
      <c r="C98" s="8">
        <f>_xlfn.XLOOKUP(B94,Table10[Ár],Table10[7300 Fjarðabyggð])</f>
        <v>666853</v>
      </c>
      <c r="D98" s="9">
        <f>_xlfn.XLOOKUP(B94,Table10[Ár],Table10[7400 Múlaþing])</f>
        <v>773103.52392578125</v>
      </c>
      <c r="E98" s="9">
        <f>_xlfn.XLOOKUP(B94,Table10[Ár],Table10[7502 Vopnafjarðarhreppur])</f>
        <v>-144483</v>
      </c>
      <c r="F98" s="31">
        <f>_xlfn.XLOOKUP(B94,Table10[Ár],Table10[7505 Fljótsdalshreppur])</f>
        <v>-6096</v>
      </c>
      <c r="H98" s="30" t="s">
        <v>26</v>
      </c>
      <c r="I98" s="8">
        <f>_xlfn.XLOOKUP(H94,Table10[Ár],Table10[7300 Fjarðabyggð])</f>
        <v>666853</v>
      </c>
      <c r="J98" s="9">
        <f>_xlfn.XLOOKUP(H94,Table10[Ár],Table10[7400 Múlaþing])</f>
        <v>773103.52392578125</v>
      </c>
      <c r="K98" s="9">
        <f>_xlfn.XLOOKUP(H94,Table10[Ár],Table10[7502 Vopnafjarðarhreppur])</f>
        <v>-144483</v>
      </c>
      <c r="L98" s="31">
        <f>_xlfn.XLOOKUP(H94,Table10[Ár],Table10[7505 Fljótsdalshreppur])</f>
        <v>-6096</v>
      </c>
    </row>
    <row r="99" spans="2:12" ht="15.75" thickBot="1">
      <c r="B99" s="30" t="s">
        <v>11</v>
      </c>
      <c r="C99" s="10">
        <f>_xlfn.XLOOKUP(B94,Table11[Ár],Table11[7300 Fjarðabyggð])</f>
        <v>3904</v>
      </c>
      <c r="D99" s="11">
        <f>_xlfn.XLOOKUP(B94,Table11[Ár],Table11[7400 Múlaþing])</f>
        <v>-48777</v>
      </c>
      <c r="E99" s="11">
        <f>_xlfn.XLOOKUP(B94,Table11[Ár],Table11[7502 Vopnafjarðarhreppur])</f>
        <v>0</v>
      </c>
      <c r="F99" s="32">
        <f>_xlfn.XLOOKUP(B94,Table11[Ár],Table11[7505 Fljótsdalshreppur])</f>
        <v>0</v>
      </c>
      <c r="H99" s="30" t="s">
        <v>27</v>
      </c>
      <c r="I99" s="10">
        <f>_xlfn.XLOOKUP(H94,Table11[Ár],Table11[7300 Fjarðabyggð])</f>
        <v>3904</v>
      </c>
      <c r="J99" s="11">
        <f>_xlfn.XLOOKUP(H94,Table11[Ár],Table11[7400 Múlaþing])</f>
        <v>-48777</v>
      </c>
      <c r="K99" s="11">
        <f>_xlfn.XLOOKUP(H94,Table11[Ár],Table11[7502 Vopnafjarðarhreppur])</f>
        <v>0</v>
      </c>
      <c r="L99" s="32">
        <f>_xlfn.XLOOKUP(H94,Table11[Ár],Table11[7505 Fljótsdalshreppur])</f>
        <v>0</v>
      </c>
    </row>
    <row r="100" spans="2:12">
      <c r="B100" s="33" t="s">
        <v>12</v>
      </c>
      <c r="C100" s="12">
        <f t="shared" ref="C100:F100" si="54">SUMIF(C96:C99,"&lt;0",C96:C99)</f>
        <v>-4798145</v>
      </c>
      <c r="D100" s="13">
        <f t="shared" si="54"/>
        <v>-4110413.664888382</v>
      </c>
      <c r="E100" s="13">
        <f t="shared" si="54"/>
        <v>-761216</v>
      </c>
      <c r="F100" s="34">
        <f t="shared" si="54"/>
        <v>-163588</v>
      </c>
      <c r="H100" s="33" t="s">
        <v>28</v>
      </c>
      <c r="I100" s="12">
        <f t="shared" ref="I100:L100" si="55">SUMIF(I96:I99,"&lt;0",I96:I99)</f>
        <v>-4798145</v>
      </c>
      <c r="J100" s="13">
        <f t="shared" si="55"/>
        <v>-4110413.664888382</v>
      </c>
      <c r="K100" s="13">
        <f t="shared" si="55"/>
        <v>-761216</v>
      </c>
      <c r="L100" s="34">
        <f t="shared" si="55"/>
        <v>-163588</v>
      </c>
    </row>
    <row r="101" spans="2:12" ht="15.75" thickBot="1">
      <c r="B101" s="35" t="s">
        <v>13</v>
      </c>
      <c r="C101" s="14">
        <f t="shared" ref="C101:F101" si="56">SUMIF(C96:C99,"&gt;0",C96:C99)</f>
        <v>4737224</v>
      </c>
      <c r="D101" s="15">
        <f t="shared" si="56"/>
        <v>4309402.0684738159</v>
      </c>
      <c r="E101" s="15">
        <f t="shared" si="56"/>
        <v>506468</v>
      </c>
      <c r="F101" s="36">
        <f t="shared" si="56"/>
        <v>149596</v>
      </c>
      <c r="H101" s="35" t="s">
        <v>29</v>
      </c>
      <c r="I101" s="14">
        <f t="shared" ref="I101:L101" si="57">SUMIF(I96:I99,"&gt;0",I96:I99)</f>
        <v>4737224</v>
      </c>
      <c r="J101" s="15">
        <f t="shared" si="57"/>
        <v>4309402.0684738159</v>
      </c>
      <c r="K101" s="15">
        <f t="shared" si="57"/>
        <v>506468</v>
      </c>
      <c r="L101" s="36">
        <f t="shared" si="57"/>
        <v>149596</v>
      </c>
    </row>
    <row r="102" spans="2:12" ht="16.5" customHeight="1" thickTop="1" thickBot="1">
      <c r="B102" s="18" t="s">
        <v>14</v>
      </c>
      <c r="C102" s="16">
        <f>-C100/C101</f>
        <v>1.0128600631931275</v>
      </c>
      <c r="D102" s="16">
        <f t="shared" ref="D102:F102" si="58">-D100/D101</f>
        <v>0.95382459087742855</v>
      </c>
      <c r="E102" s="16">
        <f t="shared" si="58"/>
        <v>1.5029893300267736</v>
      </c>
      <c r="F102" s="17">
        <f t="shared" si="58"/>
        <v>1.0935319126179845</v>
      </c>
      <c r="H102" s="41" t="s">
        <v>30</v>
      </c>
      <c r="I102" s="16">
        <f>-I100/I101</f>
        <v>1.0128600631931275</v>
      </c>
      <c r="J102" s="16">
        <f t="shared" ref="J102:L102" si="59">-J100/J101</f>
        <v>0.95382459087742855</v>
      </c>
      <c r="K102" s="16">
        <f t="shared" si="59"/>
        <v>1.5029893300267736</v>
      </c>
      <c r="L102" s="17">
        <f t="shared" si="59"/>
        <v>1.0935319126179845</v>
      </c>
    </row>
    <row r="103" spans="2:12" ht="15.75" thickBot="1"/>
    <row r="104" spans="2:12" ht="18.75" thickBot="1">
      <c r="B104" s="56">
        <v>2012</v>
      </c>
      <c r="C104" s="57"/>
      <c r="D104" s="57"/>
      <c r="E104" s="57"/>
      <c r="F104" s="58"/>
      <c r="H104" s="56">
        <f>B104</f>
        <v>2012</v>
      </c>
      <c r="I104" s="57"/>
      <c r="J104" s="57"/>
      <c r="K104" s="57"/>
      <c r="L104" s="58"/>
    </row>
    <row r="105" spans="2:12" ht="15.75" thickBot="1">
      <c r="B105" s="26"/>
      <c r="C105" s="23" t="s">
        <v>1</v>
      </c>
      <c r="D105" s="5" t="s">
        <v>15</v>
      </c>
      <c r="E105" s="5" t="s">
        <v>31</v>
      </c>
      <c r="F105" s="27" t="s">
        <v>4</v>
      </c>
      <c r="H105" s="26"/>
      <c r="I105" s="23" t="s">
        <v>1</v>
      </c>
      <c r="J105" s="5" t="s">
        <v>15</v>
      </c>
      <c r="K105" s="5" t="s">
        <v>31</v>
      </c>
      <c r="L105" s="27" t="s">
        <v>4</v>
      </c>
    </row>
    <row r="106" spans="2:12">
      <c r="B106" s="28" t="s">
        <v>2</v>
      </c>
      <c r="C106" s="6">
        <f>_xlfn.XLOOKUP(B104,Table1[Ár],Table1[7300 Fjarðabyggð])</f>
        <v>-5065671</v>
      </c>
      <c r="D106" s="7">
        <f>_xlfn.XLOOKUP(B104,Table1[Ár],Table1[7400 Múlaþing])</f>
        <v>-4261770</v>
      </c>
      <c r="E106" s="7">
        <f>_xlfn.XLOOKUP(B104,Table1[Ár],Table1[7502 Vopnafjarðarhreppur])</f>
        <v>-668928</v>
      </c>
      <c r="F106" s="29">
        <f>_xlfn.XLOOKUP(B104,Table1[Ár],Table1[7505 Fljótsdalshreppur])</f>
        <v>-150195</v>
      </c>
      <c r="H106" s="28" t="s">
        <v>24</v>
      </c>
      <c r="I106" s="6">
        <f>_xlfn.XLOOKUP(H104,Table1[Ár],Table1[7300 Fjarðabyggð])</f>
        <v>-5065671</v>
      </c>
      <c r="J106" s="7">
        <f>_xlfn.XLOOKUP(H104,Table1[Ár],Table1[7400 Múlaþing])</f>
        <v>-4261770</v>
      </c>
      <c r="K106" s="7">
        <f>_xlfn.XLOOKUP(H104,Table1[Ár],Table1[7502 Vopnafjarðarhreppur])</f>
        <v>-668928</v>
      </c>
      <c r="L106" s="29">
        <f>_xlfn.XLOOKUP(H104,Table1[Ár],Table1[7505 Fljótsdalshreppur])</f>
        <v>-150195</v>
      </c>
    </row>
    <row r="107" spans="2:12">
      <c r="B107" s="30" t="s">
        <v>9</v>
      </c>
      <c r="C107" s="8">
        <f>_xlfn.XLOOKUP(B104,Table7[Ár],Table7[7300 Fjarðabyggð])</f>
        <v>4129305</v>
      </c>
      <c r="D107" s="8">
        <f>_xlfn.XLOOKUP(B104,Table7[Ár],Table7[7400 Múlaþing])</f>
        <v>3587696</v>
      </c>
      <c r="E107" s="9">
        <f>_xlfn.XLOOKUP(B104,Table7[Ár],Table7[7502 Vopnafjarðarhreppur])</f>
        <v>556127</v>
      </c>
      <c r="F107" s="31">
        <f>_xlfn.XLOOKUP(B104,Table7[Ár],Table7[7505 Fljótsdalshreppur])</f>
        <v>159479</v>
      </c>
      <c r="H107" s="30" t="s">
        <v>25</v>
      </c>
      <c r="I107" s="8">
        <f>_xlfn.XLOOKUP(H104,Table7[Ár],Table7[7300 Fjarðabyggð])</f>
        <v>4129305</v>
      </c>
      <c r="J107" s="8">
        <f>_xlfn.XLOOKUP(H104,Table7[Ár],Table7[7400 Múlaþing])</f>
        <v>3587696</v>
      </c>
      <c r="K107" s="9">
        <f>_xlfn.XLOOKUP(H104,Table7[Ár],Table7[7502 Vopnafjarðarhreppur])</f>
        <v>556127</v>
      </c>
      <c r="L107" s="31">
        <f>_xlfn.XLOOKUP(H104,Table7[Ár],Table7[7505 Fljótsdalshreppur])</f>
        <v>159479</v>
      </c>
    </row>
    <row r="108" spans="2:12">
      <c r="B108" s="30" t="s">
        <v>10</v>
      </c>
      <c r="C108" s="8">
        <f>_xlfn.XLOOKUP(B104,Table10[Ár],Table10[7300 Fjarðabyggð])</f>
        <v>506252</v>
      </c>
      <c r="D108" s="9">
        <f>_xlfn.XLOOKUP(B104,Table10[Ár],Table10[7400 Múlaþing])</f>
        <v>644002</v>
      </c>
      <c r="E108" s="9">
        <f>_xlfn.XLOOKUP(B104,Table10[Ár],Table10[7502 Vopnafjarðarhreppur])</f>
        <v>40280</v>
      </c>
      <c r="F108" s="31">
        <f>_xlfn.XLOOKUP(B104,Table10[Ár],Table10[7505 Fljótsdalshreppur])</f>
        <v>-1801</v>
      </c>
      <c r="H108" s="30" t="s">
        <v>26</v>
      </c>
      <c r="I108" s="8">
        <f>_xlfn.XLOOKUP(H104,Table10[Ár],Table10[7300 Fjarðabyggð])</f>
        <v>506252</v>
      </c>
      <c r="J108" s="9">
        <f>_xlfn.XLOOKUP(H104,Table10[Ár],Table10[7400 Múlaþing])</f>
        <v>644002</v>
      </c>
      <c r="K108" s="9">
        <f>_xlfn.XLOOKUP(H104,Table10[Ár],Table10[7502 Vopnafjarðarhreppur])</f>
        <v>40280</v>
      </c>
      <c r="L108" s="31">
        <f>_xlfn.XLOOKUP(H104,Table10[Ár],Table10[7505 Fljótsdalshreppur])</f>
        <v>-1801</v>
      </c>
    </row>
    <row r="109" spans="2:12" ht="15.75" thickBot="1">
      <c r="B109" s="30" t="s">
        <v>11</v>
      </c>
      <c r="C109" s="10">
        <f>_xlfn.XLOOKUP(B104,Table11[Ár],Table11[7300 Fjarðabyggð])</f>
        <v>10832</v>
      </c>
      <c r="D109" s="11">
        <f>_xlfn.XLOOKUP(B104,Table11[Ár],Table11[7400 Múlaþing])</f>
        <v>-150</v>
      </c>
      <c r="E109" s="11">
        <f>_xlfn.XLOOKUP(B104,Table11[Ár],Table11[7502 Vopnafjarðarhreppur])</f>
        <v>0</v>
      </c>
      <c r="F109" s="32">
        <f>_xlfn.XLOOKUP(B104,Table11[Ár],Table11[7505 Fljótsdalshreppur])</f>
        <v>0</v>
      </c>
      <c r="H109" s="30" t="s">
        <v>27</v>
      </c>
      <c r="I109" s="10">
        <f>_xlfn.XLOOKUP(H104,Table11[Ár],Table11[7300 Fjarðabyggð])</f>
        <v>10832</v>
      </c>
      <c r="J109" s="11">
        <f>_xlfn.XLOOKUP(H104,Table11[Ár],Table11[7400 Múlaþing])</f>
        <v>-150</v>
      </c>
      <c r="K109" s="11">
        <f>_xlfn.XLOOKUP(H104,Table11[Ár],Table11[7502 Vopnafjarðarhreppur])</f>
        <v>0</v>
      </c>
      <c r="L109" s="32">
        <f>_xlfn.XLOOKUP(H104,Table11[Ár],Table11[7505 Fljótsdalshreppur])</f>
        <v>0</v>
      </c>
    </row>
    <row r="110" spans="2:12">
      <c r="B110" s="33" t="s">
        <v>12</v>
      </c>
      <c r="C110" s="12">
        <f t="shared" ref="C110:F110" si="60">SUMIF(C106:C109,"&lt;0",C106:C109)</f>
        <v>-5065671</v>
      </c>
      <c r="D110" s="13">
        <f t="shared" si="60"/>
        <v>-4261920</v>
      </c>
      <c r="E110" s="13">
        <f t="shared" si="60"/>
        <v>-668928</v>
      </c>
      <c r="F110" s="34">
        <f t="shared" si="60"/>
        <v>-151996</v>
      </c>
      <c r="H110" s="33" t="s">
        <v>28</v>
      </c>
      <c r="I110" s="12">
        <f t="shared" ref="I110:L110" si="61">SUMIF(I106:I109,"&lt;0",I106:I109)</f>
        <v>-5065671</v>
      </c>
      <c r="J110" s="13">
        <f t="shared" si="61"/>
        <v>-4261920</v>
      </c>
      <c r="K110" s="13">
        <f t="shared" si="61"/>
        <v>-668928</v>
      </c>
      <c r="L110" s="34">
        <f t="shared" si="61"/>
        <v>-151996</v>
      </c>
    </row>
    <row r="111" spans="2:12" ht="15.75" thickBot="1">
      <c r="B111" s="35" t="s">
        <v>13</v>
      </c>
      <c r="C111" s="14">
        <f t="shared" ref="C111:F111" si="62">SUMIF(C106:C109,"&gt;0",C106:C109)</f>
        <v>4646389</v>
      </c>
      <c r="D111" s="15">
        <f t="shared" si="62"/>
        <v>4231698</v>
      </c>
      <c r="E111" s="15">
        <f t="shared" si="62"/>
        <v>596407</v>
      </c>
      <c r="F111" s="36">
        <f t="shared" si="62"/>
        <v>159479</v>
      </c>
      <c r="H111" s="35" t="s">
        <v>29</v>
      </c>
      <c r="I111" s="14">
        <f t="shared" ref="I111:L111" si="63">SUMIF(I106:I109,"&gt;0",I106:I109)</f>
        <v>4646389</v>
      </c>
      <c r="J111" s="15">
        <f t="shared" si="63"/>
        <v>4231698</v>
      </c>
      <c r="K111" s="15">
        <f t="shared" si="63"/>
        <v>596407</v>
      </c>
      <c r="L111" s="36">
        <f t="shared" si="63"/>
        <v>159479</v>
      </c>
    </row>
    <row r="112" spans="2:12" ht="16.5" customHeight="1" thickTop="1" thickBot="1">
      <c r="B112" s="18" t="s">
        <v>14</v>
      </c>
      <c r="C112" s="16">
        <f>-C110/C111</f>
        <v>1.0902382473787708</v>
      </c>
      <c r="D112" s="16">
        <f t="shared" ref="D112:F112" si="64">-D110/D111</f>
        <v>1.0071418139952331</v>
      </c>
      <c r="E112" s="16">
        <f t="shared" si="64"/>
        <v>1.1215964936695915</v>
      </c>
      <c r="F112" s="17">
        <f t="shared" si="64"/>
        <v>0.95307846174104427</v>
      </c>
      <c r="H112" s="41" t="s">
        <v>30</v>
      </c>
      <c r="I112" s="16">
        <f>-I110/I111</f>
        <v>1.0902382473787708</v>
      </c>
      <c r="J112" s="16">
        <f t="shared" ref="J112:L112" si="65">-J110/J111</f>
        <v>1.0071418139952331</v>
      </c>
      <c r="K112" s="16">
        <f t="shared" si="65"/>
        <v>1.1215964936695915</v>
      </c>
      <c r="L112" s="17">
        <f t="shared" si="65"/>
        <v>0.95307846174104427</v>
      </c>
    </row>
    <row r="113" spans="2:12" ht="15.75" thickBot="1"/>
    <row r="114" spans="2:12" ht="18.75" thickBot="1">
      <c r="B114" s="56">
        <v>2013</v>
      </c>
      <c r="C114" s="57"/>
      <c r="D114" s="57"/>
      <c r="E114" s="57"/>
      <c r="F114" s="58"/>
      <c r="H114" s="56">
        <f>B114</f>
        <v>2013</v>
      </c>
      <c r="I114" s="57"/>
      <c r="J114" s="57"/>
      <c r="K114" s="57"/>
      <c r="L114" s="58"/>
    </row>
    <row r="115" spans="2:12" ht="15.75" thickBot="1">
      <c r="B115" s="26"/>
      <c r="C115" s="23" t="s">
        <v>1</v>
      </c>
      <c r="D115" s="5" t="s">
        <v>15</v>
      </c>
      <c r="E115" s="5" t="s">
        <v>31</v>
      </c>
      <c r="F115" s="27" t="s">
        <v>4</v>
      </c>
      <c r="H115" s="26"/>
      <c r="I115" s="23" t="s">
        <v>1</v>
      </c>
      <c r="J115" s="5" t="s">
        <v>15</v>
      </c>
      <c r="K115" s="5" t="s">
        <v>31</v>
      </c>
      <c r="L115" s="27" t="s">
        <v>4</v>
      </c>
    </row>
    <row r="116" spans="2:12">
      <c r="B116" s="28" t="s">
        <v>2</v>
      </c>
      <c r="C116" s="6">
        <f>_xlfn.XLOOKUP(B114,Table1[Ár],Table1[7300 Fjarðabyggð])</f>
        <v>-5367128</v>
      </c>
      <c r="D116" s="7">
        <f>_xlfn.XLOOKUP(B114,Table1[Ár],Table1[7400 Múlaþing])</f>
        <v>-4570918</v>
      </c>
      <c r="E116" s="7">
        <f>_xlfn.XLOOKUP(B114,Table1[Ár],Table1[7502 Vopnafjarðarhreppur])</f>
        <v>-830933</v>
      </c>
      <c r="F116" s="29">
        <f>_xlfn.XLOOKUP(B114,Table1[Ár],Table1[7505 Fljótsdalshreppur])</f>
        <v>-137497</v>
      </c>
      <c r="H116" s="28" t="s">
        <v>24</v>
      </c>
      <c r="I116" s="6">
        <f>_xlfn.XLOOKUP(H114,Table1[Ár],Table1[7300 Fjarðabyggð])</f>
        <v>-5367128</v>
      </c>
      <c r="J116" s="7">
        <f>_xlfn.XLOOKUP(H114,Table1[Ár],Table1[7400 Múlaþing])</f>
        <v>-4570918</v>
      </c>
      <c r="K116" s="7">
        <f>_xlfn.XLOOKUP(H114,Table1[Ár],Table1[7502 Vopnafjarðarhreppur])</f>
        <v>-830933</v>
      </c>
      <c r="L116" s="29">
        <f>_xlfn.XLOOKUP(H114,Table1[Ár],Table1[7505 Fljótsdalshreppur])</f>
        <v>-137497</v>
      </c>
    </row>
    <row r="117" spans="2:12">
      <c r="B117" s="30" t="s">
        <v>9</v>
      </c>
      <c r="C117" s="8">
        <f>_xlfn.XLOOKUP(B114,Table7[Ár],Table7[7300 Fjarðabyggð])</f>
        <v>4290989</v>
      </c>
      <c r="D117" s="8">
        <f>_xlfn.XLOOKUP(B114,Table7[Ár],Table7[7400 Múlaþing])</f>
        <v>3948510</v>
      </c>
      <c r="E117" s="9">
        <f>_xlfn.XLOOKUP(B114,Table7[Ár],Table7[7502 Vopnafjarðarhreppur])</f>
        <v>698528</v>
      </c>
      <c r="F117" s="31">
        <f>_xlfn.XLOOKUP(B114,Table7[Ár],Table7[7505 Fljótsdalshreppur])</f>
        <v>160377</v>
      </c>
      <c r="H117" s="30" t="s">
        <v>25</v>
      </c>
      <c r="I117" s="8">
        <f>_xlfn.XLOOKUP(H114,Table7[Ár],Table7[7300 Fjarðabyggð])</f>
        <v>4290989</v>
      </c>
      <c r="J117" s="8">
        <f>_xlfn.XLOOKUP(H114,Table7[Ár],Table7[7400 Múlaþing])</f>
        <v>3948510</v>
      </c>
      <c r="K117" s="9">
        <f>_xlfn.XLOOKUP(H114,Table7[Ár],Table7[7502 Vopnafjarðarhreppur])</f>
        <v>698528</v>
      </c>
      <c r="L117" s="31">
        <f>_xlfn.XLOOKUP(H114,Table7[Ár],Table7[7505 Fljótsdalshreppur])</f>
        <v>160377</v>
      </c>
    </row>
    <row r="118" spans="2:12">
      <c r="B118" s="30" t="s">
        <v>10</v>
      </c>
      <c r="C118" s="8">
        <f>_xlfn.XLOOKUP(B114,Table10[Ár],Table10[7300 Fjarðabyggð])</f>
        <v>119492</v>
      </c>
      <c r="D118" s="9">
        <f>_xlfn.XLOOKUP(B114,Table10[Ár],Table10[7400 Múlaþing])</f>
        <v>542196</v>
      </c>
      <c r="E118" s="9">
        <f>_xlfn.XLOOKUP(B114,Table10[Ár],Table10[7502 Vopnafjarðarhreppur])</f>
        <v>18342</v>
      </c>
      <c r="F118" s="31">
        <f>_xlfn.XLOOKUP(B114,Table10[Ár],Table10[7505 Fljótsdalshreppur])</f>
        <v>-3246</v>
      </c>
      <c r="H118" s="30" t="s">
        <v>26</v>
      </c>
      <c r="I118" s="8">
        <f>_xlfn.XLOOKUP(H114,Table10[Ár],Table10[7300 Fjarðabyggð])</f>
        <v>119492</v>
      </c>
      <c r="J118" s="9">
        <f>_xlfn.XLOOKUP(H114,Table10[Ár],Table10[7400 Múlaþing])</f>
        <v>542196</v>
      </c>
      <c r="K118" s="9">
        <f>_xlfn.XLOOKUP(H114,Table10[Ár],Table10[7502 Vopnafjarðarhreppur])</f>
        <v>18342</v>
      </c>
      <c r="L118" s="31">
        <f>_xlfn.XLOOKUP(H114,Table10[Ár],Table10[7505 Fljótsdalshreppur])</f>
        <v>-3246</v>
      </c>
    </row>
    <row r="119" spans="2:12" ht="15.75" thickBot="1">
      <c r="B119" s="30" t="s">
        <v>11</v>
      </c>
      <c r="C119" s="10">
        <f>_xlfn.XLOOKUP(B114,Table11[Ár],Table11[7300 Fjarðabyggð])</f>
        <v>17601</v>
      </c>
      <c r="D119" s="11">
        <f>_xlfn.XLOOKUP(B114,Table11[Ár],Table11[7400 Múlaþing])</f>
        <v>68445</v>
      </c>
      <c r="E119" s="11">
        <f>_xlfn.XLOOKUP(B114,Table11[Ár],Table11[7502 Vopnafjarðarhreppur])</f>
        <v>0</v>
      </c>
      <c r="F119" s="32">
        <f>_xlfn.XLOOKUP(B114,Table11[Ár],Table11[7505 Fljótsdalshreppur])</f>
        <v>0</v>
      </c>
      <c r="H119" s="30" t="s">
        <v>27</v>
      </c>
      <c r="I119" s="10">
        <f>_xlfn.XLOOKUP(H114,Table11[Ár],Table11[7300 Fjarðabyggð])</f>
        <v>17601</v>
      </c>
      <c r="J119" s="11">
        <f>_xlfn.XLOOKUP(H114,Table11[Ár],Table11[7400 Múlaþing])</f>
        <v>68445</v>
      </c>
      <c r="K119" s="11">
        <f>_xlfn.XLOOKUP(H114,Table11[Ár],Table11[7502 Vopnafjarðarhreppur])</f>
        <v>0</v>
      </c>
      <c r="L119" s="32">
        <f>_xlfn.XLOOKUP(H114,Table11[Ár],Table11[7505 Fljótsdalshreppur])</f>
        <v>0</v>
      </c>
    </row>
    <row r="120" spans="2:12">
      <c r="B120" s="33" t="s">
        <v>12</v>
      </c>
      <c r="C120" s="12">
        <f t="shared" ref="C120:F120" si="66">SUMIF(C116:C119,"&lt;0",C116:C119)</f>
        <v>-5367128</v>
      </c>
      <c r="D120" s="13">
        <f t="shared" si="66"/>
        <v>-4570918</v>
      </c>
      <c r="E120" s="13">
        <f t="shared" si="66"/>
        <v>-830933</v>
      </c>
      <c r="F120" s="34">
        <f t="shared" si="66"/>
        <v>-140743</v>
      </c>
      <c r="H120" s="33" t="s">
        <v>28</v>
      </c>
      <c r="I120" s="12">
        <f t="shared" ref="I120:L120" si="67">SUMIF(I116:I119,"&lt;0",I116:I119)</f>
        <v>-5367128</v>
      </c>
      <c r="J120" s="13">
        <f t="shared" si="67"/>
        <v>-4570918</v>
      </c>
      <c r="K120" s="13">
        <f t="shared" si="67"/>
        <v>-830933</v>
      </c>
      <c r="L120" s="34">
        <f t="shared" si="67"/>
        <v>-140743</v>
      </c>
    </row>
    <row r="121" spans="2:12" ht="15.75" thickBot="1">
      <c r="B121" s="35" t="s">
        <v>13</v>
      </c>
      <c r="C121" s="14">
        <f t="shared" ref="C121:F121" si="68">SUMIF(C116:C119,"&gt;0",C116:C119)</f>
        <v>4428082</v>
      </c>
      <c r="D121" s="15">
        <f t="shared" si="68"/>
        <v>4559151</v>
      </c>
      <c r="E121" s="15">
        <f t="shared" si="68"/>
        <v>716870</v>
      </c>
      <c r="F121" s="36">
        <f t="shared" si="68"/>
        <v>160377</v>
      </c>
      <c r="H121" s="35" t="s">
        <v>29</v>
      </c>
      <c r="I121" s="14">
        <f t="shared" ref="I121:L121" si="69">SUMIF(I116:I119,"&gt;0",I116:I119)</f>
        <v>4428082</v>
      </c>
      <c r="J121" s="15">
        <f t="shared" si="69"/>
        <v>4559151</v>
      </c>
      <c r="K121" s="15">
        <f t="shared" si="69"/>
        <v>716870</v>
      </c>
      <c r="L121" s="36">
        <f t="shared" si="69"/>
        <v>160377</v>
      </c>
    </row>
    <row r="122" spans="2:12" ht="16.5" customHeight="1" thickTop="1" thickBot="1">
      <c r="B122" s="18" t="s">
        <v>14</v>
      </c>
      <c r="C122" s="16">
        <f>-C120/C121</f>
        <v>1.2120660818837592</v>
      </c>
      <c r="D122" s="16">
        <f t="shared" ref="D122:F122" si="70">-D120/D121</f>
        <v>1.0025809629906972</v>
      </c>
      <c r="E122" s="16">
        <f t="shared" si="70"/>
        <v>1.1591125308633365</v>
      </c>
      <c r="F122" s="17">
        <f t="shared" si="70"/>
        <v>0.87757596164038487</v>
      </c>
      <c r="H122" s="41" t="s">
        <v>30</v>
      </c>
      <c r="I122" s="16">
        <f>-I120/I121</f>
        <v>1.2120660818837592</v>
      </c>
      <c r="J122" s="16">
        <f t="shared" ref="J122:L122" si="71">-J120/J121</f>
        <v>1.0025809629906972</v>
      </c>
      <c r="K122" s="16">
        <f t="shared" si="71"/>
        <v>1.1591125308633365</v>
      </c>
      <c r="L122" s="17">
        <f t="shared" si="71"/>
        <v>0.87757596164038487</v>
      </c>
    </row>
    <row r="123" spans="2:12" ht="15.75" thickBot="1"/>
    <row r="124" spans="2:12" ht="18.75" thickBot="1">
      <c r="B124" s="56">
        <v>2014</v>
      </c>
      <c r="C124" s="57"/>
      <c r="D124" s="57"/>
      <c r="E124" s="57"/>
      <c r="F124" s="58"/>
      <c r="H124" s="56">
        <f>B124</f>
        <v>2014</v>
      </c>
      <c r="I124" s="57"/>
      <c r="J124" s="57"/>
      <c r="K124" s="57"/>
      <c r="L124" s="58"/>
    </row>
    <row r="125" spans="2:12" ht="15.75" thickBot="1">
      <c r="B125" s="26"/>
      <c r="C125" s="23" t="s">
        <v>1</v>
      </c>
      <c r="D125" s="5" t="s">
        <v>15</v>
      </c>
      <c r="E125" s="5" t="s">
        <v>31</v>
      </c>
      <c r="F125" s="27" t="s">
        <v>4</v>
      </c>
      <c r="H125" s="26"/>
      <c r="I125" s="23" t="s">
        <v>1</v>
      </c>
      <c r="J125" s="5" t="s">
        <v>15</v>
      </c>
      <c r="K125" s="5" t="s">
        <v>31</v>
      </c>
      <c r="L125" s="27" t="s">
        <v>4</v>
      </c>
    </row>
    <row r="126" spans="2:12">
      <c r="B126" s="28" t="s">
        <v>2</v>
      </c>
      <c r="C126" s="6">
        <f>_xlfn.XLOOKUP(B124,Table1[Ár],Table1[7300 Fjarðabyggð])</f>
        <v>-5639480</v>
      </c>
      <c r="D126" s="7">
        <f>_xlfn.XLOOKUP(B124,Table1[Ár],Table1[7400 Múlaþing])</f>
        <v>-4812629</v>
      </c>
      <c r="E126" s="7">
        <f>_xlfn.XLOOKUP(B124,Table1[Ár],Table1[7502 Vopnafjarðarhreppur])</f>
        <v>-892663</v>
      </c>
      <c r="F126" s="29">
        <f>_xlfn.XLOOKUP(B124,Table1[Ár],Table1[7505 Fljótsdalshreppur])</f>
        <v>-145361</v>
      </c>
      <c r="H126" s="28" t="s">
        <v>24</v>
      </c>
      <c r="I126" s="6">
        <f>_xlfn.XLOOKUP(H124,Table1[Ár],Table1[7300 Fjarðabyggð])</f>
        <v>-5639480</v>
      </c>
      <c r="J126" s="7">
        <f>_xlfn.XLOOKUP(H124,Table1[Ár],Table1[7400 Múlaþing])</f>
        <v>-4812629</v>
      </c>
      <c r="K126" s="7">
        <f>_xlfn.XLOOKUP(H124,Table1[Ár],Table1[7502 Vopnafjarðarhreppur])</f>
        <v>-892663</v>
      </c>
      <c r="L126" s="29">
        <f>_xlfn.XLOOKUP(H124,Table1[Ár],Table1[7505 Fljótsdalshreppur])</f>
        <v>-145361</v>
      </c>
    </row>
    <row r="127" spans="2:12">
      <c r="B127" s="30" t="s">
        <v>9</v>
      </c>
      <c r="C127" s="8">
        <f>_xlfn.XLOOKUP(B124,Table7[Ár],Table7[7300 Fjarðabyggð])</f>
        <v>4934102</v>
      </c>
      <c r="D127" s="8">
        <f>_xlfn.XLOOKUP(B124,Table7[Ár],Table7[7400 Múlaþing])</f>
        <v>4145673</v>
      </c>
      <c r="E127" s="9">
        <f>_xlfn.XLOOKUP(B124,Table7[Ár],Table7[7502 Vopnafjarðarhreppur])</f>
        <v>834837</v>
      </c>
      <c r="F127" s="31">
        <f>_xlfn.XLOOKUP(B124,Table7[Ár],Table7[7505 Fljótsdalshreppur])</f>
        <v>146239</v>
      </c>
      <c r="H127" s="30" t="s">
        <v>25</v>
      </c>
      <c r="I127" s="8">
        <f>_xlfn.XLOOKUP(H124,Table7[Ár],Table7[7300 Fjarðabyggð])</f>
        <v>4934102</v>
      </c>
      <c r="J127" s="8">
        <f>_xlfn.XLOOKUP(H124,Table7[Ár],Table7[7400 Múlaþing])</f>
        <v>4145673</v>
      </c>
      <c r="K127" s="9">
        <f>_xlfn.XLOOKUP(H124,Table7[Ár],Table7[7502 Vopnafjarðarhreppur])</f>
        <v>834837</v>
      </c>
      <c r="L127" s="31">
        <f>_xlfn.XLOOKUP(H124,Table7[Ár],Table7[7505 Fljótsdalshreppur])</f>
        <v>146239</v>
      </c>
    </row>
    <row r="128" spans="2:12">
      <c r="B128" s="30" t="s">
        <v>10</v>
      </c>
      <c r="C128" s="8">
        <f>_xlfn.XLOOKUP(B124,Table10[Ár],Table10[7300 Fjarðabyggð])</f>
        <v>338932</v>
      </c>
      <c r="D128" s="9">
        <f>_xlfn.XLOOKUP(B124,Table10[Ár],Table10[7400 Múlaþing])</f>
        <v>401524</v>
      </c>
      <c r="E128" s="9">
        <f>_xlfn.XLOOKUP(B124,Table10[Ár],Table10[7502 Vopnafjarðarhreppur])</f>
        <v>18494</v>
      </c>
      <c r="F128" s="31">
        <f>_xlfn.XLOOKUP(B124,Table10[Ár],Table10[7505 Fljótsdalshreppur])</f>
        <v>-2623</v>
      </c>
      <c r="H128" s="30" t="s">
        <v>26</v>
      </c>
      <c r="I128" s="8">
        <f>_xlfn.XLOOKUP(H124,Table10[Ár],Table10[7300 Fjarðabyggð])</f>
        <v>338932</v>
      </c>
      <c r="J128" s="9">
        <f>_xlfn.XLOOKUP(H124,Table10[Ár],Table10[7400 Múlaþing])</f>
        <v>401524</v>
      </c>
      <c r="K128" s="9">
        <f>_xlfn.XLOOKUP(H124,Table10[Ár],Table10[7502 Vopnafjarðarhreppur])</f>
        <v>18494</v>
      </c>
      <c r="L128" s="31">
        <f>_xlfn.XLOOKUP(H124,Table10[Ár],Table10[7505 Fljótsdalshreppur])</f>
        <v>-2623</v>
      </c>
    </row>
    <row r="129" spans="2:12" ht="15.75" thickBot="1">
      <c r="B129" s="30" t="s">
        <v>11</v>
      </c>
      <c r="C129" s="10">
        <f>_xlfn.XLOOKUP(B124,Table11[Ár],Table11[7300 Fjarðabyggð])</f>
        <v>9242</v>
      </c>
      <c r="D129" s="11">
        <f>_xlfn.XLOOKUP(B124,Table11[Ár],Table11[7400 Múlaþing])</f>
        <v>-10191</v>
      </c>
      <c r="E129" s="11">
        <f>_xlfn.XLOOKUP(B124,Table11[Ár],Table11[7502 Vopnafjarðarhreppur])</f>
        <v>0</v>
      </c>
      <c r="F129" s="32">
        <f>_xlfn.XLOOKUP(B124,Table11[Ár],Table11[7505 Fljótsdalshreppur])</f>
        <v>0</v>
      </c>
      <c r="H129" s="30" t="s">
        <v>27</v>
      </c>
      <c r="I129" s="10">
        <f>_xlfn.XLOOKUP(H124,Table11[Ár],Table11[7300 Fjarðabyggð])</f>
        <v>9242</v>
      </c>
      <c r="J129" s="11">
        <f>_xlfn.XLOOKUP(H124,Table11[Ár],Table11[7400 Múlaþing])</f>
        <v>-10191</v>
      </c>
      <c r="K129" s="11">
        <f>_xlfn.XLOOKUP(H124,Table11[Ár],Table11[7502 Vopnafjarðarhreppur])</f>
        <v>0</v>
      </c>
      <c r="L129" s="32">
        <f>_xlfn.XLOOKUP(H124,Table11[Ár],Table11[7505 Fljótsdalshreppur])</f>
        <v>0</v>
      </c>
    </row>
    <row r="130" spans="2:12">
      <c r="B130" s="33" t="s">
        <v>12</v>
      </c>
      <c r="C130" s="12">
        <f t="shared" ref="C130:F130" si="72">SUMIF(C126:C129,"&lt;0",C126:C129)</f>
        <v>-5639480</v>
      </c>
      <c r="D130" s="13">
        <f t="shared" si="72"/>
        <v>-4822820</v>
      </c>
      <c r="E130" s="13">
        <f t="shared" si="72"/>
        <v>-892663</v>
      </c>
      <c r="F130" s="34">
        <f t="shared" si="72"/>
        <v>-147984</v>
      </c>
      <c r="H130" s="33" t="s">
        <v>28</v>
      </c>
      <c r="I130" s="12">
        <f t="shared" ref="I130:L130" si="73">SUMIF(I126:I129,"&lt;0",I126:I129)</f>
        <v>-5639480</v>
      </c>
      <c r="J130" s="13">
        <f t="shared" si="73"/>
        <v>-4822820</v>
      </c>
      <c r="K130" s="13">
        <f t="shared" si="73"/>
        <v>-892663</v>
      </c>
      <c r="L130" s="34">
        <f t="shared" si="73"/>
        <v>-147984</v>
      </c>
    </row>
    <row r="131" spans="2:12" ht="15.75" thickBot="1">
      <c r="B131" s="35" t="s">
        <v>13</v>
      </c>
      <c r="C131" s="14">
        <f t="shared" ref="C131:F131" si="74">SUMIF(C126:C129,"&gt;0",C126:C129)</f>
        <v>5282276</v>
      </c>
      <c r="D131" s="15">
        <f t="shared" si="74"/>
        <v>4547197</v>
      </c>
      <c r="E131" s="15">
        <f t="shared" si="74"/>
        <v>853331</v>
      </c>
      <c r="F131" s="36">
        <f t="shared" si="74"/>
        <v>146239</v>
      </c>
      <c r="H131" s="35" t="s">
        <v>29</v>
      </c>
      <c r="I131" s="14">
        <f t="shared" ref="I131:L131" si="75">SUMIF(I126:I129,"&gt;0",I126:I129)</f>
        <v>5282276</v>
      </c>
      <c r="J131" s="15">
        <f t="shared" si="75"/>
        <v>4547197</v>
      </c>
      <c r="K131" s="15">
        <f t="shared" si="75"/>
        <v>853331</v>
      </c>
      <c r="L131" s="36">
        <f t="shared" si="75"/>
        <v>146239</v>
      </c>
    </row>
    <row r="132" spans="2:12" ht="16.5" customHeight="1" thickTop="1" thickBot="1">
      <c r="B132" s="18" t="s">
        <v>14</v>
      </c>
      <c r="C132" s="16">
        <f>-C130/C131</f>
        <v>1.0676231230628614</v>
      </c>
      <c r="D132" s="16">
        <f t="shared" ref="D132:F132" si="76">-D130/D131</f>
        <v>1.0606138242965941</v>
      </c>
      <c r="E132" s="16">
        <f t="shared" si="76"/>
        <v>1.0460923135336697</v>
      </c>
      <c r="F132" s="17">
        <f t="shared" si="76"/>
        <v>1.0119325214204145</v>
      </c>
      <c r="H132" s="41" t="s">
        <v>30</v>
      </c>
      <c r="I132" s="16">
        <f>-I130/I131</f>
        <v>1.0676231230628614</v>
      </c>
      <c r="J132" s="16">
        <f t="shared" ref="J132:L132" si="77">-J130/J131</f>
        <v>1.0606138242965941</v>
      </c>
      <c r="K132" s="16">
        <f t="shared" si="77"/>
        <v>1.0460923135336697</v>
      </c>
      <c r="L132" s="17">
        <f t="shared" si="77"/>
        <v>1.0119325214204145</v>
      </c>
    </row>
    <row r="133" spans="2:12" ht="15.75" thickBot="1"/>
    <row r="134" spans="2:12" ht="18.75" thickBot="1">
      <c r="B134" s="56">
        <v>2015</v>
      </c>
      <c r="C134" s="57"/>
      <c r="D134" s="57"/>
      <c r="E134" s="57"/>
      <c r="F134" s="58"/>
      <c r="H134" s="56">
        <f>B134</f>
        <v>2015</v>
      </c>
      <c r="I134" s="57"/>
      <c r="J134" s="57"/>
      <c r="K134" s="57"/>
      <c r="L134" s="58"/>
    </row>
    <row r="135" spans="2:12" ht="15.75" thickBot="1">
      <c r="B135" s="26"/>
      <c r="C135" s="23" t="s">
        <v>1</v>
      </c>
      <c r="D135" s="5" t="s">
        <v>15</v>
      </c>
      <c r="E135" s="5" t="s">
        <v>31</v>
      </c>
      <c r="F135" s="27" t="s">
        <v>4</v>
      </c>
      <c r="H135" s="26"/>
      <c r="I135" s="23" t="s">
        <v>1</v>
      </c>
      <c r="J135" s="5" t="s">
        <v>15</v>
      </c>
      <c r="K135" s="5" t="s">
        <v>31</v>
      </c>
      <c r="L135" s="27" t="s">
        <v>4</v>
      </c>
    </row>
    <row r="136" spans="2:12">
      <c r="B136" s="28" t="s">
        <v>2</v>
      </c>
      <c r="C136" s="6">
        <f>_xlfn.XLOOKUP(B134,Table1[Ár],Table1[7300 Fjarðabyggð])</f>
        <v>-6047226</v>
      </c>
      <c r="D136" s="7">
        <f>_xlfn.XLOOKUP(B134,Table1[Ár],Table1[7400 Múlaþing])</f>
        <v>-5245450</v>
      </c>
      <c r="E136" s="7">
        <f>_xlfn.XLOOKUP(B134,Table1[Ár],Table1[7502 Vopnafjarðarhreppur])</f>
        <v>-934754</v>
      </c>
      <c r="F136" s="29">
        <f>_xlfn.XLOOKUP(B134,Table1[Ár],Table1[7505 Fljótsdalshreppur])</f>
        <v>-165349</v>
      </c>
      <c r="H136" s="28" t="s">
        <v>24</v>
      </c>
      <c r="I136" s="6">
        <f>_xlfn.XLOOKUP(H134,Table1[Ár],Table1[7300 Fjarðabyggð])</f>
        <v>-6047226</v>
      </c>
      <c r="J136" s="7">
        <f>_xlfn.XLOOKUP(H134,Table1[Ár],Table1[7400 Múlaþing])</f>
        <v>-5245450</v>
      </c>
      <c r="K136" s="7">
        <f>_xlfn.XLOOKUP(H134,Table1[Ár],Table1[7502 Vopnafjarðarhreppur])</f>
        <v>-934754</v>
      </c>
      <c r="L136" s="29">
        <f>_xlfn.XLOOKUP(H134,Table1[Ár],Table1[7505 Fljótsdalshreppur])</f>
        <v>-165349</v>
      </c>
    </row>
    <row r="137" spans="2:12">
      <c r="B137" s="30" t="s">
        <v>9</v>
      </c>
      <c r="C137" s="8">
        <f>_xlfn.XLOOKUP(B134,Table7[Ár],Table7[7300 Fjarðabyggð])</f>
        <v>5188993</v>
      </c>
      <c r="D137" s="8">
        <f>_xlfn.XLOOKUP(B134,Table7[Ár],Table7[7400 Múlaþing])</f>
        <v>4635452</v>
      </c>
      <c r="E137" s="9">
        <f>_xlfn.XLOOKUP(B134,Table7[Ár],Table7[7502 Vopnafjarðarhreppur])</f>
        <v>870146</v>
      </c>
      <c r="F137" s="31">
        <f>_xlfn.XLOOKUP(B134,Table7[Ár],Table7[7505 Fljótsdalshreppur])</f>
        <v>144561</v>
      </c>
      <c r="H137" s="30" t="s">
        <v>25</v>
      </c>
      <c r="I137" s="8">
        <f>_xlfn.XLOOKUP(H134,Table7[Ár],Table7[7300 Fjarðabyggð])</f>
        <v>5188993</v>
      </c>
      <c r="J137" s="8">
        <f>_xlfn.XLOOKUP(H134,Table7[Ár],Table7[7400 Múlaþing])</f>
        <v>4635452</v>
      </c>
      <c r="K137" s="9">
        <f>_xlfn.XLOOKUP(H134,Table7[Ár],Table7[7502 Vopnafjarðarhreppur])</f>
        <v>870146</v>
      </c>
      <c r="L137" s="31">
        <f>_xlfn.XLOOKUP(H134,Table7[Ár],Table7[7505 Fljótsdalshreppur])</f>
        <v>144561</v>
      </c>
    </row>
    <row r="138" spans="2:12">
      <c r="B138" s="30" t="s">
        <v>10</v>
      </c>
      <c r="C138" s="8">
        <f>_xlfn.XLOOKUP(B134,Table10[Ár],Table10[7300 Fjarðabyggð])</f>
        <v>265797</v>
      </c>
      <c r="D138" s="9">
        <f>_xlfn.XLOOKUP(B134,Table10[Ár],Table10[7400 Múlaþing])</f>
        <v>483169</v>
      </c>
      <c r="E138" s="9">
        <f>_xlfn.XLOOKUP(B134,Table10[Ár],Table10[7502 Vopnafjarðarhreppur])</f>
        <v>18485</v>
      </c>
      <c r="F138" s="31">
        <f>_xlfn.XLOOKUP(B134,Table10[Ár],Table10[7505 Fljótsdalshreppur])</f>
        <v>-4887</v>
      </c>
      <c r="H138" s="30" t="s">
        <v>26</v>
      </c>
      <c r="I138" s="8">
        <f>_xlfn.XLOOKUP(H134,Table10[Ár],Table10[7300 Fjarðabyggð])</f>
        <v>265797</v>
      </c>
      <c r="J138" s="9">
        <f>_xlfn.XLOOKUP(H134,Table10[Ár],Table10[7400 Múlaþing])</f>
        <v>483169</v>
      </c>
      <c r="K138" s="9">
        <f>_xlfn.XLOOKUP(H134,Table10[Ár],Table10[7502 Vopnafjarðarhreppur])</f>
        <v>18485</v>
      </c>
      <c r="L138" s="31">
        <f>_xlfn.XLOOKUP(H134,Table10[Ár],Table10[7505 Fljótsdalshreppur])</f>
        <v>-4887</v>
      </c>
    </row>
    <row r="139" spans="2:12" ht="15.75" thickBot="1">
      <c r="B139" s="30" t="s">
        <v>11</v>
      </c>
      <c r="C139" s="10">
        <f>_xlfn.XLOOKUP(B134,Table11[Ár],Table11[7300 Fjarðabyggð])</f>
        <v>-20377</v>
      </c>
      <c r="D139" s="11">
        <f>_xlfn.XLOOKUP(B134,Table11[Ár],Table11[7400 Múlaþing])</f>
        <v>8642</v>
      </c>
      <c r="E139" s="11">
        <f>_xlfn.XLOOKUP(B134,Table11[Ár],Table11[7502 Vopnafjarðarhreppur])</f>
        <v>0</v>
      </c>
      <c r="F139" s="32">
        <f>_xlfn.XLOOKUP(B134,Table11[Ár],Table11[7505 Fljótsdalshreppur])</f>
        <v>0</v>
      </c>
      <c r="H139" s="30" t="s">
        <v>27</v>
      </c>
      <c r="I139" s="10">
        <f>_xlfn.XLOOKUP(H134,Table11[Ár],Table11[7300 Fjarðabyggð])</f>
        <v>-20377</v>
      </c>
      <c r="J139" s="11">
        <f>_xlfn.XLOOKUP(H134,Table11[Ár],Table11[7400 Múlaþing])</f>
        <v>8642</v>
      </c>
      <c r="K139" s="11">
        <f>_xlfn.XLOOKUP(H134,Table11[Ár],Table11[7502 Vopnafjarðarhreppur])</f>
        <v>0</v>
      </c>
      <c r="L139" s="32">
        <f>_xlfn.XLOOKUP(H134,Table11[Ár],Table11[7505 Fljótsdalshreppur])</f>
        <v>0</v>
      </c>
    </row>
    <row r="140" spans="2:12">
      <c r="B140" s="33" t="s">
        <v>12</v>
      </c>
      <c r="C140" s="12">
        <f t="shared" ref="C140:F140" si="78">SUMIF(C136:C139,"&lt;0",C136:C139)</f>
        <v>-6067603</v>
      </c>
      <c r="D140" s="13">
        <f t="shared" si="78"/>
        <v>-5245450</v>
      </c>
      <c r="E140" s="13">
        <f t="shared" si="78"/>
        <v>-934754</v>
      </c>
      <c r="F140" s="34">
        <f t="shared" si="78"/>
        <v>-170236</v>
      </c>
      <c r="H140" s="33" t="s">
        <v>28</v>
      </c>
      <c r="I140" s="12">
        <f t="shared" ref="I140:L140" si="79">SUMIF(I136:I139,"&lt;0",I136:I139)</f>
        <v>-6067603</v>
      </c>
      <c r="J140" s="13">
        <f t="shared" si="79"/>
        <v>-5245450</v>
      </c>
      <c r="K140" s="13">
        <f t="shared" si="79"/>
        <v>-934754</v>
      </c>
      <c r="L140" s="34">
        <f t="shared" si="79"/>
        <v>-170236</v>
      </c>
    </row>
    <row r="141" spans="2:12" ht="15.75" thickBot="1">
      <c r="B141" s="35" t="s">
        <v>13</v>
      </c>
      <c r="C141" s="14">
        <f t="shared" ref="C141:F141" si="80">SUMIF(C136:C139,"&gt;0",C136:C139)</f>
        <v>5454790</v>
      </c>
      <c r="D141" s="15">
        <f t="shared" si="80"/>
        <v>5127263</v>
      </c>
      <c r="E141" s="15">
        <f t="shared" si="80"/>
        <v>888631</v>
      </c>
      <c r="F141" s="36">
        <f t="shared" si="80"/>
        <v>144561</v>
      </c>
      <c r="H141" s="35" t="s">
        <v>29</v>
      </c>
      <c r="I141" s="14">
        <f t="shared" ref="I141:L141" si="81">SUMIF(I136:I139,"&gt;0",I136:I139)</f>
        <v>5454790</v>
      </c>
      <c r="J141" s="15">
        <f t="shared" si="81"/>
        <v>5127263</v>
      </c>
      <c r="K141" s="15">
        <f t="shared" si="81"/>
        <v>888631</v>
      </c>
      <c r="L141" s="36">
        <f t="shared" si="81"/>
        <v>144561</v>
      </c>
    </row>
    <row r="142" spans="2:12" ht="16.5" customHeight="1" thickTop="1" thickBot="1">
      <c r="B142" s="18" t="s">
        <v>14</v>
      </c>
      <c r="C142" s="16">
        <f>-C140/C141</f>
        <v>1.1123440132434061</v>
      </c>
      <c r="D142" s="16">
        <f t="shared" ref="D142:F142" si="82">-D140/D141</f>
        <v>1.0230506997593063</v>
      </c>
      <c r="E142" s="16">
        <f t="shared" si="82"/>
        <v>1.0519034334836395</v>
      </c>
      <c r="F142" s="17">
        <f t="shared" si="82"/>
        <v>1.1776066850672036</v>
      </c>
      <c r="H142" s="41" t="s">
        <v>30</v>
      </c>
      <c r="I142" s="16">
        <f>-I140/I141</f>
        <v>1.1123440132434061</v>
      </c>
      <c r="J142" s="16">
        <f t="shared" ref="J142:L142" si="83">-J140/J141</f>
        <v>1.0230506997593063</v>
      </c>
      <c r="K142" s="16">
        <f t="shared" si="83"/>
        <v>1.0519034334836395</v>
      </c>
      <c r="L142" s="17">
        <f t="shared" si="83"/>
        <v>1.1776066850672036</v>
      </c>
    </row>
    <row r="143" spans="2:12" ht="15.75" thickBot="1"/>
    <row r="144" spans="2:12" ht="18.75" thickBot="1">
      <c r="B144" s="56">
        <v>2016</v>
      </c>
      <c r="C144" s="57"/>
      <c r="D144" s="57"/>
      <c r="E144" s="57"/>
      <c r="F144" s="58"/>
      <c r="H144" s="56">
        <f>B144</f>
        <v>2016</v>
      </c>
      <c r="I144" s="57"/>
      <c r="J144" s="57"/>
      <c r="K144" s="57"/>
      <c r="L144" s="58"/>
    </row>
    <row r="145" spans="2:12" ht="15.75" thickBot="1">
      <c r="B145" s="26"/>
      <c r="C145" s="23" t="s">
        <v>1</v>
      </c>
      <c r="D145" s="5" t="s">
        <v>15</v>
      </c>
      <c r="E145" s="5" t="s">
        <v>31</v>
      </c>
      <c r="F145" s="27" t="s">
        <v>4</v>
      </c>
      <c r="H145" s="26"/>
      <c r="I145" s="23" t="s">
        <v>1</v>
      </c>
      <c r="J145" s="5" t="s">
        <v>15</v>
      </c>
      <c r="K145" s="5" t="s">
        <v>31</v>
      </c>
      <c r="L145" s="27" t="s">
        <v>4</v>
      </c>
    </row>
    <row r="146" spans="2:12">
      <c r="B146" s="28" t="s">
        <v>2</v>
      </c>
      <c r="C146" s="6">
        <f>_xlfn.XLOOKUP(B144,Table1[Ár],Table1[7300 Fjarðabyggð])</f>
        <v>-6427511</v>
      </c>
      <c r="D146" s="7">
        <f>_xlfn.XLOOKUP(B144,Table1[Ár],Table1[7400 Múlaþing])</f>
        <v>-5567355</v>
      </c>
      <c r="E146" s="7">
        <f>_xlfn.XLOOKUP(B144,Table1[Ár],Table1[7502 Vopnafjarðarhreppur])</f>
        <v>-1023951</v>
      </c>
      <c r="F146" s="29">
        <f>_xlfn.XLOOKUP(B144,Table1[Ár],Table1[7505 Fljótsdalshreppur])</f>
        <v>-154990</v>
      </c>
      <c r="H146" s="28" t="s">
        <v>24</v>
      </c>
      <c r="I146" s="6">
        <f>_xlfn.XLOOKUP(H144,Table1[Ár],Table1[7300 Fjarðabyggð])</f>
        <v>-6427511</v>
      </c>
      <c r="J146" s="7">
        <f>_xlfn.XLOOKUP(H144,Table1[Ár],Table1[7400 Múlaþing])</f>
        <v>-5567355</v>
      </c>
      <c r="K146" s="7">
        <f>_xlfn.XLOOKUP(H144,Table1[Ár],Table1[7502 Vopnafjarðarhreppur])</f>
        <v>-1023951</v>
      </c>
      <c r="L146" s="29">
        <f>_xlfn.XLOOKUP(H144,Table1[Ár],Table1[7505 Fljótsdalshreppur])</f>
        <v>-154990</v>
      </c>
    </row>
    <row r="147" spans="2:12">
      <c r="B147" s="30" t="s">
        <v>9</v>
      </c>
      <c r="C147" s="8">
        <f>_xlfn.XLOOKUP(B144,Table7[Ár],Table7[7300 Fjarðabyggð])</f>
        <v>5762408</v>
      </c>
      <c r="D147" s="8">
        <f>_xlfn.XLOOKUP(B144,Table7[Ár],Table7[7400 Múlaþing])</f>
        <v>4767332</v>
      </c>
      <c r="E147" s="9">
        <f>_xlfn.XLOOKUP(B144,Table7[Ár],Table7[7502 Vopnafjarðarhreppur])</f>
        <v>907496</v>
      </c>
      <c r="F147" s="31">
        <f>_xlfn.XLOOKUP(B144,Table7[Ár],Table7[7505 Fljótsdalshreppur])</f>
        <v>154441</v>
      </c>
      <c r="H147" s="30" t="s">
        <v>25</v>
      </c>
      <c r="I147" s="8">
        <f>_xlfn.XLOOKUP(H144,Table7[Ár],Table7[7300 Fjarðabyggð])</f>
        <v>5762408</v>
      </c>
      <c r="J147" s="8">
        <f>_xlfn.XLOOKUP(H144,Table7[Ár],Table7[7400 Múlaþing])</f>
        <v>4767332</v>
      </c>
      <c r="K147" s="9">
        <f>_xlfn.XLOOKUP(H144,Table7[Ár],Table7[7502 Vopnafjarðarhreppur])</f>
        <v>907496</v>
      </c>
      <c r="L147" s="31">
        <f>_xlfn.XLOOKUP(H144,Table7[Ár],Table7[7505 Fljótsdalshreppur])</f>
        <v>154441</v>
      </c>
    </row>
    <row r="148" spans="2:12">
      <c r="B148" s="30" t="s">
        <v>10</v>
      </c>
      <c r="C148" s="8">
        <f>_xlfn.XLOOKUP(B144,Table10[Ár],Table10[7300 Fjarðabyggð])</f>
        <v>282580</v>
      </c>
      <c r="D148" s="9">
        <f>_xlfn.XLOOKUP(B144,Table10[Ár],Table10[7400 Múlaþing])</f>
        <v>420769</v>
      </c>
      <c r="E148" s="9">
        <f>_xlfn.XLOOKUP(B144,Table10[Ár],Table10[7502 Vopnafjarðarhreppur])</f>
        <v>19113</v>
      </c>
      <c r="F148" s="31">
        <f>_xlfn.XLOOKUP(B144,Table10[Ár],Table10[7505 Fljótsdalshreppur])</f>
        <v>-7673</v>
      </c>
      <c r="H148" s="30" t="s">
        <v>26</v>
      </c>
      <c r="I148" s="8">
        <f>_xlfn.XLOOKUP(H144,Table10[Ár],Table10[7300 Fjarðabyggð])</f>
        <v>282580</v>
      </c>
      <c r="J148" s="9">
        <f>_xlfn.XLOOKUP(H144,Table10[Ár],Table10[7400 Múlaþing])</f>
        <v>420769</v>
      </c>
      <c r="K148" s="9">
        <f>_xlfn.XLOOKUP(H144,Table10[Ár],Table10[7502 Vopnafjarðarhreppur])</f>
        <v>19113</v>
      </c>
      <c r="L148" s="31">
        <f>_xlfn.XLOOKUP(H144,Table10[Ár],Table10[7505 Fljótsdalshreppur])</f>
        <v>-7673</v>
      </c>
    </row>
    <row r="149" spans="2:12" ht="15.75" thickBot="1">
      <c r="B149" s="30" t="s">
        <v>11</v>
      </c>
      <c r="C149" s="10">
        <f>_xlfn.XLOOKUP(B144,Table11[Ár],Table11[7300 Fjarðabyggð])</f>
        <v>-18100</v>
      </c>
      <c r="D149" s="11">
        <f>_xlfn.XLOOKUP(B144,Table11[Ár],Table11[7400 Múlaþing])</f>
        <v>29527</v>
      </c>
      <c r="E149" s="11">
        <f>_xlfn.XLOOKUP(B144,Table11[Ár],Table11[7502 Vopnafjarðarhreppur])</f>
        <v>0</v>
      </c>
      <c r="F149" s="32">
        <f>_xlfn.XLOOKUP(B144,Table11[Ár],Table11[7505 Fljótsdalshreppur])</f>
        <v>0</v>
      </c>
      <c r="H149" s="30" t="s">
        <v>27</v>
      </c>
      <c r="I149" s="10">
        <f>_xlfn.XLOOKUP(H144,Table11[Ár],Table11[7300 Fjarðabyggð])</f>
        <v>-18100</v>
      </c>
      <c r="J149" s="11">
        <f>_xlfn.XLOOKUP(H144,Table11[Ár],Table11[7400 Múlaþing])</f>
        <v>29527</v>
      </c>
      <c r="K149" s="11">
        <f>_xlfn.XLOOKUP(H144,Table11[Ár],Table11[7502 Vopnafjarðarhreppur])</f>
        <v>0</v>
      </c>
      <c r="L149" s="32">
        <f>_xlfn.XLOOKUP(H144,Table11[Ár],Table11[7505 Fljótsdalshreppur])</f>
        <v>0</v>
      </c>
    </row>
    <row r="150" spans="2:12">
      <c r="B150" s="33" t="s">
        <v>12</v>
      </c>
      <c r="C150" s="12">
        <f t="shared" ref="C150:F150" si="84">SUMIF(C146:C149,"&lt;0",C146:C149)</f>
        <v>-6445611</v>
      </c>
      <c r="D150" s="13">
        <f t="shared" si="84"/>
        <v>-5567355</v>
      </c>
      <c r="E150" s="13">
        <f t="shared" si="84"/>
        <v>-1023951</v>
      </c>
      <c r="F150" s="34">
        <f t="shared" si="84"/>
        <v>-162663</v>
      </c>
      <c r="H150" s="33" t="s">
        <v>28</v>
      </c>
      <c r="I150" s="12">
        <f t="shared" ref="I150:L150" si="85">SUMIF(I146:I149,"&lt;0",I146:I149)</f>
        <v>-6445611</v>
      </c>
      <c r="J150" s="13">
        <f t="shared" si="85"/>
        <v>-5567355</v>
      </c>
      <c r="K150" s="13">
        <f t="shared" si="85"/>
        <v>-1023951</v>
      </c>
      <c r="L150" s="34">
        <f t="shared" si="85"/>
        <v>-162663</v>
      </c>
    </row>
    <row r="151" spans="2:12" ht="15.75" thickBot="1">
      <c r="B151" s="35" t="s">
        <v>13</v>
      </c>
      <c r="C151" s="14">
        <f t="shared" ref="C151:F151" si="86">SUMIF(C146:C149,"&gt;0",C146:C149)</f>
        <v>6044988</v>
      </c>
      <c r="D151" s="15">
        <f t="shared" si="86"/>
        <v>5217628</v>
      </c>
      <c r="E151" s="15">
        <f t="shared" si="86"/>
        <v>926609</v>
      </c>
      <c r="F151" s="36">
        <f t="shared" si="86"/>
        <v>154441</v>
      </c>
      <c r="H151" s="35" t="s">
        <v>29</v>
      </c>
      <c r="I151" s="14">
        <f t="shared" ref="I151:L151" si="87">SUMIF(I146:I149,"&gt;0",I146:I149)</f>
        <v>6044988</v>
      </c>
      <c r="J151" s="15">
        <f t="shared" si="87"/>
        <v>5217628</v>
      </c>
      <c r="K151" s="15">
        <f t="shared" si="87"/>
        <v>926609</v>
      </c>
      <c r="L151" s="36">
        <f t="shared" si="87"/>
        <v>154441</v>
      </c>
    </row>
    <row r="152" spans="2:12" ht="16.5" customHeight="1" thickTop="1" thickBot="1">
      <c r="B152" s="18" t="s">
        <v>14</v>
      </c>
      <c r="C152" s="16">
        <f>-C150/C151</f>
        <v>1.0662735806919716</v>
      </c>
      <c r="D152" s="16">
        <f t="shared" ref="D152:F152" si="88">-D150/D151</f>
        <v>1.0670279674978744</v>
      </c>
      <c r="E152" s="16">
        <f t="shared" si="88"/>
        <v>1.105051861140999</v>
      </c>
      <c r="F152" s="17">
        <f t="shared" si="88"/>
        <v>1.053237158526557</v>
      </c>
      <c r="H152" s="41" t="s">
        <v>30</v>
      </c>
      <c r="I152" s="16">
        <f>-I150/I151</f>
        <v>1.0662735806919716</v>
      </c>
      <c r="J152" s="16">
        <f t="shared" ref="J152:L152" si="89">-J150/J151</f>
        <v>1.0670279674978744</v>
      </c>
      <c r="K152" s="16">
        <f t="shared" si="89"/>
        <v>1.105051861140999</v>
      </c>
      <c r="L152" s="17">
        <f t="shared" si="89"/>
        <v>1.053237158526557</v>
      </c>
    </row>
    <row r="153" spans="2:12" ht="15.75" thickBot="1"/>
    <row r="154" spans="2:12" ht="18.75" thickBot="1">
      <c r="B154" s="56">
        <v>2017</v>
      </c>
      <c r="C154" s="57"/>
      <c r="D154" s="57"/>
      <c r="E154" s="57"/>
      <c r="F154" s="58"/>
      <c r="H154" s="56">
        <f>B154</f>
        <v>2017</v>
      </c>
      <c r="I154" s="57"/>
      <c r="J154" s="57"/>
      <c r="K154" s="57"/>
      <c r="L154" s="58"/>
    </row>
    <row r="155" spans="2:12" ht="15.75" thickBot="1">
      <c r="B155" s="26"/>
      <c r="C155" s="23" t="s">
        <v>1</v>
      </c>
      <c r="D155" s="5" t="s">
        <v>15</v>
      </c>
      <c r="E155" s="5" t="s">
        <v>31</v>
      </c>
      <c r="F155" s="27" t="s">
        <v>4</v>
      </c>
      <c r="H155" s="26"/>
      <c r="I155" s="23" t="s">
        <v>1</v>
      </c>
      <c r="J155" s="5" t="s">
        <v>15</v>
      </c>
      <c r="K155" s="5" t="s">
        <v>31</v>
      </c>
      <c r="L155" s="27" t="s">
        <v>4</v>
      </c>
    </row>
    <row r="156" spans="2:12">
      <c r="B156" s="28" t="s">
        <v>2</v>
      </c>
      <c r="C156" s="6">
        <f>_xlfn.XLOOKUP(B154,Table1[Ár],Table1[7300 Fjarðabyggð])</f>
        <v>-7299833</v>
      </c>
      <c r="D156" s="7">
        <f>_xlfn.XLOOKUP(B154,Table1[Ár],Table1[7400 Múlaþing])</f>
        <v>-6027468</v>
      </c>
      <c r="E156" s="7">
        <f>_xlfn.XLOOKUP(B154,Table1[Ár],Table1[7502 Vopnafjarðarhreppur])</f>
        <v>-1064941</v>
      </c>
      <c r="F156" s="29">
        <f>_xlfn.XLOOKUP(B154,Table1[Ár],Table1[7505 Fljótsdalshreppur])</f>
        <v>-169502</v>
      </c>
      <c r="H156" s="28" t="s">
        <v>24</v>
      </c>
      <c r="I156" s="6">
        <f>_xlfn.XLOOKUP(H154,Table1[Ár],Table1[7300 Fjarðabyggð])</f>
        <v>-7299833</v>
      </c>
      <c r="J156" s="7">
        <f>_xlfn.XLOOKUP(H154,Table1[Ár],Table1[7400 Múlaþing])</f>
        <v>-6027468</v>
      </c>
      <c r="K156" s="7">
        <f>_xlfn.XLOOKUP(H154,Table1[Ár],Table1[7502 Vopnafjarðarhreppur])</f>
        <v>-1064941</v>
      </c>
      <c r="L156" s="29">
        <f>_xlfn.XLOOKUP(H154,Table1[Ár],Table1[7505 Fljótsdalshreppur])</f>
        <v>-169502</v>
      </c>
    </row>
    <row r="157" spans="2:12">
      <c r="B157" s="30" t="s">
        <v>9</v>
      </c>
      <c r="C157" s="8">
        <f>_xlfn.XLOOKUP(B154,Table7[Ár],Table7[7300 Fjarðabyggð])</f>
        <v>6486996</v>
      </c>
      <c r="D157" s="8">
        <f>_xlfn.XLOOKUP(B154,Table7[Ár],Table7[7400 Múlaþing])</f>
        <v>5215104</v>
      </c>
      <c r="E157" s="9">
        <f>_xlfn.XLOOKUP(B154,Table7[Ár],Table7[7502 Vopnafjarðarhreppur])</f>
        <v>958040</v>
      </c>
      <c r="F157" s="31">
        <f>_xlfn.XLOOKUP(B154,Table7[Ár],Table7[7505 Fljótsdalshreppur])</f>
        <v>161956</v>
      </c>
      <c r="H157" s="30" t="s">
        <v>25</v>
      </c>
      <c r="I157" s="8">
        <f>_xlfn.XLOOKUP(H154,Table7[Ár],Table7[7300 Fjarðabyggð])</f>
        <v>6486996</v>
      </c>
      <c r="J157" s="8">
        <f>_xlfn.XLOOKUP(H154,Table7[Ár],Table7[7400 Múlaþing])</f>
        <v>5215104</v>
      </c>
      <c r="K157" s="9">
        <f>_xlfn.XLOOKUP(H154,Table7[Ár],Table7[7502 Vopnafjarðarhreppur])</f>
        <v>958040</v>
      </c>
      <c r="L157" s="31">
        <f>_xlfn.XLOOKUP(H154,Table7[Ár],Table7[7505 Fljótsdalshreppur])</f>
        <v>161956</v>
      </c>
    </row>
    <row r="158" spans="2:12">
      <c r="B158" s="30" t="s">
        <v>10</v>
      </c>
      <c r="C158" s="8">
        <f>_xlfn.XLOOKUP(B154,Table10[Ár],Table10[7300 Fjarðabyggð])</f>
        <v>306618</v>
      </c>
      <c r="D158" s="9">
        <f>_xlfn.XLOOKUP(B154,Table10[Ár],Table10[7400 Múlaþing])</f>
        <v>396696</v>
      </c>
      <c r="E158" s="9">
        <f>_xlfn.XLOOKUP(B154,Table10[Ár],Table10[7502 Vopnafjarðarhreppur])</f>
        <v>11000</v>
      </c>
      <c r="F158" s="31">
        <f>_xlfn.XLOOKUP(B154,Table10[Ár],Table10[7505 Fljótsdalshreppur])</f>
        <v>2166</v>
      </c>
      <c r="H158" s="30" t="s">
        <v>26</v>
      </c>
      <c r="I158" s="8">
        <f>_xlfn.XLOOKUP(H154,Table10[Ár],Table10[7300 Fjarðabyggð])</f>
        <v>306618</v>
      </c>
      <c r="J158" s="9">
        <f>_xlfn.XLOOKUP(H154,Table10[Ár],Table10[7400 Múlaþing])</f>
        <v>396696</v>
      </c>
      <c r="K158" s="9">
        <f>_xlfn.XLOOKUP(H154,Table10[Ár],Table10[7502 Vopnafjarðarhreppur])</f>
        <v>11000</v>
      </c>
      <c r="L158" s="31">
        <f>_xlfn.XLOOKUP(H154,Table10[Ár],Table10[7505 Fljótsdalshreppur])</f>
        <v>2166</v>
      </c>
    </row>
    <row r="159" spans="2:12" ht="15.75" thickBot="1">
      <c r="B159" s="30" t="s">
        <v>11</v>
      </c>
      <c r="C159" s="10">
        <f>_xlfn.XLOOKUP(B154,Table11[Ár],Table11[7300 Fjarðabyggð])</f>
        <v>248</v>
      </c>
      <c r="D159" s="11">
        <f>_xlfn.XLOOKUP(B154,Table11[Ár],Table11[7400 Múlaþing])</f>
        <v>10967</v>
      </c>
      <c r="E159" s="11">
        <f>_xlfn.XLOOKUP(B154,Table11[Ár],Table11[7502 Vopnafjarðarhreppur])</f>
        <v>0</v>
      </c>
      <c r="F159" s="32">
        <f>_xlfn.XLOOKUP(B154,Table11[Ár],Table11[7505 Fljótsdalshreppur])</f>
        <v>0</v>
      </c>
      <c r="H159" s="30" t="s">
        <v>27</v>
      </c>
      <c r="I159" s="10">
        <f>_xlfn.XLOOKUP(H154,Table11[Ár],Table11[7300 Fjarðabyggð])</f>
        <v>248</v>
      </c>
      <c r="J159" s="11">
        <f>_xlfn.XLOOKUP(H154,Table11[Ár],Table11[7400 Múlaþing])</f>
        <v>10967</v>
      </c>
      <c r="K159" s="11">
        <f>_xlfn.XLOOKUP(H154,Table11[Ár],Table11[7502 Vopnafjarðarhreppur])</f>
        <v>0</v>
      </c>
      <c r="L159" s="32">
        <f>_xlfn.XLOOKUP(H154,Table11[Ár],Table11[7505 Fljótsdalshreppur])</f>
        <v>0</v>
      </c>
    </row>
    <row r="160" spans="2:12">
      <c r="B160" s="33" t="s">
        <v>12</v>
      </c>
      <c r="C160" s="12">
        <f t="shared" ref="C160:F160" si="90">SUMIF(C156:C159,"&lt;0",C156:C159)</f>
        <v>-7299833</v>
      </c>
      <c r="D160" s="13">
        <f t="shared" si="90"/>
        <v>-6027468</v>
      </c>
      <c r="E160" s="13">
        <f t="shared" si="90"/>
        <v>-1064941</v>
      </c>
      <c r="F160" s="34">
        <f t="shared" si="90"/>
        <v>-169502</v>
      </c>
      <c r="H160" s="33" t="s">
        <v>28</v>
      </c>
      <c r="I160" s="12">
        <f t="shared" ref="I160:L160" si="91">SUMIF(I156:I159,"&lt;0",I156:I159)</f>
        <v>-7299833</v>
      </c>
      <c r="J160" s="13">
        <f t="shared" si="91"/>
        <v>-6027468</v>
      </c>
      <c r="K160" s="13">
        <f t="shared" si="91"/>
        <v>-1064941</v>
      </c>
      <c r="L160" s="34">
        <f t="shared" si="91"/>
        <v>-169502</v>
      </c>
    </row>
    <row r="161" spans="2:12" ht="15.75" thickBot="1">
      <c r="B161" s="35" t="s">
        <v>13</v>
      </c>
      <c r="C161" s="14">
        <f t="shared" ref="C161:F161" si="92">SUMIF(C156:C159,"&gt;0",C156:C159)</f>
        <v>6793862</v>
      </c>
      <c r="D161" s="15">
        <f t="shared" si="92"/>
        <v>5622767</v>
      </c>
      <c r="E161" s="15">
        <f t="shared" si="92"/>
        <v>969040</v>
      </c>
      <c r="F161" s="36">
        <f t="shared" si="92"/>
        <v>164122</v>
      </c>
      <c r="H161" s="35" t="s">
        <v>29</v>
      </c>
      <c r="I161" s="14">
        <f t="shared" ref="I161:L161" si="93">SUMIF(I156:I159,"&gt;0",I156:I159)</f>
        <v>6793862</v>
      </c>
      <c r="J161" s="15">
        <f t="shared" si="93"/>
        <v>5622767</v>
      </c>
      <c r="K161" s="15">
        <f t="shared" si="93"/>
        <v>969040</v>
      </c>
      <c r="L161" s="36">
        <f t="shared" si="93"/>
        <v>164122</v>
      </c>
    </row>
    <row r="162" spans="2:12" ht="16.5" customHeight="1" thickTop="1" thickBot="1">
      <c r="B162" s="18" t="s">
        <v>14</v>
      </c>
      <c r="C162" s="16">
        <f>-C160/C161</f>
        <v>1.0744747243909281</v>
      </c>
      <c r="D162" s="16">
        <f t="shared" ref="D162:F162" si="94">-D160/D161</f>
        <v>1.0719754170855738</v>
      </c>
      <c r="E162" s="16">
        <f t="shared" si="94"/>
        <v>1.0989649550070173</v>
      </c>
      <c r="F162" s="17">
        <f t="shared" si="94"/>
        <v>1.0327804925604123</v>
      </c>
      <c r="H162" s="41" t="s">
        <v>30</v>
      </c>
      <c r="I162" s="16">
        <f>-I160/I161</f>
        <v>1.0744747243909281</v>
      </c>
      <c r="J162" s="16">
        <f t="shared" ref="J162:L162" si="95">-J160/J161</f>
        <v>1.0719754170855738</v>
      </c>
      <c r="K162" s="16">
        <f t="shared" si="95"/>
        <v>1.0989649550070173</v>
      </c>
      <c r="L162" s="17">
        <f t="shared" si="95"/>
        <v>1.0327804925604123</v>
      </c>
    </row>
    <row r="163" spans="2:12" ht="15.75" thickBot="1"/>
    <row r="164" spans="2:12" ht="18.75" thickBot="1">
      <c r="B164" s="56">
        <v>2018</v>
      </c>
      <c r="C164" s="57"/>
      <c r="D164" s="57"/>
      <c r="E164" s="57"/>
      <c r="F164" s="58"/>
      <c r="H164" s="56">
        <f>B164</f>
        <v>2018</v>
      </c>
      <c r="I164" s="57"/>
      <c r="J164" s="57"/>
      <c r="K164" s="57"/>
      <c r="L164" s="58"/>
    </row>
    <row r="165" spans="2:12" ht="15.75" thickBot="1">
      <c r="B165" s="26"/>
      <c r="C165" s="23" t="s">
        <v>1</v>
      </c>
      <c r="D165" s="5" t="s">
        <v>15</v>
      </c>
      <c r="E165" s="5" t="s">
        <v>31</v>
      </c>
      <c r="F165" s="27" t="s">
        <v>4</v>
      </c>
      <c r="H165" s="26"/>
      <c r="I165" s="23" t="s">
        <v>1</v>
      </c>
      <c r="J165" s="5" t="s">
        <v>15</v>
      </c>
      <c r="K165" s="5" t="s">
        <v>31</v>
      </c>
      <c r="L165" s="27" t="s">
        <v>4</v>
      </c>
    </row>
    <row r="166" spans="2:12">
      <c r="B166" s="28" t="s">
        <v>2</v>
      </c>
      <c r="C166" s="6">
        <f>_xlfn.XLOOKUP(B164,Table1[Ár],Table1[7300 Fjarðabyggð])</f>
        <v>-8123507</v>
      </c>
      <c r="D166" s="7">
        <f>_xlfn.XLOOKUP(B164,Table1[Ár],Table1[7400 Múlaþing])</f>
        <v>-6456308</v>
      </c>
      <c r="E166" s="7">
        <f>_xlfn.XLOOKUP(B164,Table1[Ár],Table1[7502 Vopnafjarðarhreppur])</f>
        <v>-1046883</v>
      </c>
      <c r="F166" s="29">
        <f>_xlfn.XLOOKUP(B164,Table1[Ár],Table1[7505 Fljótsdalshreppur])</f>
        <v>-185650</v>
      </c>
      <c r="H166" s="28" t="s">
        <v>24</v>
      </c>
      <c r="I166" s="6">
        <f>_xlfn.XLOOKUP(H164,Table1[Ár],Table1[7300 Fjarðabyggð])</f>
        <v>-8123507</v>
      </c>
      <c r="J166" s="7">
        <f>_xlfn.XLOOKUP(H164,Table1[Ár],Table1[7400 Múlaþing])</f>
        <v>-6456308</v>
      </c>
      <c r="K166" s="7">
        <f>_xlfn.XLOOKUP(H164,Table1[Ár],Table1[7502 Vopnafjarðarhreppur])</f>
        <v>-1046883</v>
      </c>
      <c r="L166" s="29">
        <f>_xlfn.XLOOKUP(H164,Table1[Ár],Table1[7505 Fljótsdalshreppur])</f>
        <v>-185650</v>
      </c>
    </row>
    <row r="167" spans="2:12">
      <c r="B167" s="30" t="s">
        <v>9</v>
      </c>
      <c r="C167" s="8">
        <f>_xlfn.XLOOKUP(B164,Table7[Ár],Table7[7300 Fjarðabyggð])</f>
        <v>7028997</v>
      </c>
      <c r="D167" s="8">
        <f>_xlfn.XLOOKUP(B164,Table7[Ár],Table7[7400 Múlaþing])</f>
        <v>5514301</v>
      </c>
      <c r="E167" s="9">
        <f>_xlfn.XLOOKUP(B164,Table7[Ár],Table7[7502 Vopnafjarðarhreppur])</f>
        <v>1026427</v>
      </c>
      <c r="F167" s="31">
        <f>_xlfn.XLOOKUP(B164,Table7[Ár],Table7[7505 Fljótsdalshreppur])</f>
        <v>159754</v>
      </c>
      <c r="H167" s="30" t="s">
        <v>25</v>
      </c>
      <c r="I167" s="8">
        <f>_xlfn.XLOOKUP(H164,Table7[Ár],Table7[7300 Fjarðabyggð])</f>
        <v>7028997</v>
      </c>
      <c r="J167" s="8">
        <f>_xlfn.XLOOKUP(H164,Table7[Ár],Table7[7400 Múlaþing])</f>
        <v>5514301</v>
      </c>
      <c r="K167" s="9">
        <f>_xlfn.XLOOKUP(H164,Table7[Ár],Table7[7502 Vopnafjarðarhreppur])</f>
        <v>1026427</v>
      </c>
      <c r="L167" s="31">
        <f>_xlfn.XLOOKUP(H164,Table7[Ár],Table7[7505 Fljótsdalshreppur])</f>
        <v>159754</v>
      </c>
    </row>
    <row r="168" spans="2:12">
      <c r="B168" s="30" t="s">
        <v>10</v>
      </c>
      <c r="C168" s="8">
        <f>_xlfn.XLOOKUP(B164,Table10[Ár],Table10[7300 Fjarðabyggð])</f>
        <v>364700</v>
      </c>
      <c r="D168" s="9">
        <f>_xlfn.XLOOKUP(B164,Table10[Ár],Table10[7400 Múlaþing])</f>
        <v>517835</v>
      </c>
      <c r="E168" s="9">
        <f>_xlfn.XLOOKUP(B164,Table10[Ár],Table10[7502 Vopnafjarðarhreppur])</f>
        <v>21023</v>
      </c>
      <c r="F168" s="31">
        <f>_xlfn.XLOOKUP(B164,Table10[Ár],Table10[7505 Fljótsdalshreppur])</f>
        <v>-6063</v>
      </c>
      <c r="H168" s="30" t="s">
        <v>26</v>
      </c>
      <c r="I168" s="8">
        <f>_xlfn.XLOOKUP(H164,Table10[Ár],Table10[7300 Fjarðabyggð])</f>
        <v>364700</v>
      </c>
      <c r="J168" s="9">
        <f>_xlfn.XLOOKUP(H164,Table10[Ár],Table10[7400 Múlaþing])</f>
        <v>517835</v>
      </c>
      <c r="K168" s="9">
        <f>_xlfn.XLOOKUP(H164,Table10[Ár],Table10[7502 Vopnafjarðarhreppur])</f>
        <v>21023</v>
      </c>
      <c r="L168" s="31">
        <f>_xlfn.XLOOKUP(H164,Table10[Ár],Table10[7505 Fljótsdalshreppur])</f>
        <v>-6063</v>
      </c>
    </row>
    <row r="169" spans="2:12" ht="15.75" thickBot="1">
      <c r="B169" s="30" t="s">
        <v>11</v>
      </c>
      <c r="C169" s="10">
        <f>_xlfn.XLOOKUP(B164,Table11[Ár],Table11[7300 Fjarðabyggð])</f>
        <v>-9101</v>
      </c>
      <c r="D169" s="11">
        <f>_xlfn.XLOOKUP(B164,Table11[Ár],Table11[7400 Múlaþing])</f>
        <v>16100</v>
      </c>
      <c r="E169" s="11">
        <f>_xlfn.XLOOKUP(B164,Table11[Ár],Table11[7502 Vopnafjarðarhreppur])</f>
        <v>0</v>
      </c>
      <c r="F169" s="32">
        <f>_xlfn.XLOOKUP(B164,Table11[Ár],Table11[7505 Fljótsdalshreppur])</f>
        <v>0</v>
      </c>
      <c r="H169" s="30" t="s">
        <v>27</v>
      </c>
      <c r="I169" s="10">
        <f>_xlfn.XLOOKUP(H164,Table11[Ár],Table11[7300 Fjarðabyggð])</f>
        <v>-9101</v>
      </c>
      <c r="J169" s="11">
        <f>_xlfn.XLOOKUP(H164,Table11[Ár],Table11[7400 Múlaþing])</f>
        <v>16100</v>
      </c>
      <c r="K169" s="11">
        <f>_xlfn.XLOOKUP(H164,Table11[Ár],Table11[7502 Vopnafjarðarhreppur])</f>
        <v>0</v>
      </c>
      <c r="L169" s="32">
        <f>_xlfn.XLOOKUP(H164,Table11[Ár],Table11[7505 Fljótsdalshreppur])</f>
        <v>0</v>
      </c>
    </row>
    <row r="170" spans="2:12">
      <c r="B170" s="33" t="s">
        <v>12</v>
      </c>
      <c r="C170" s="12">
        <f t="shared" ref="C170:F170" si="96">SUMIF(C166:C169,"&lt;0",C166:C169)</f>
        <v>-8132608</v>
      </c>
      <c r="D170" s="13">
        <f t="shared" si="96"/>
        <v>-6456308</v>
      </c>
      <c r="E170" s="13">
        <f t="shared" si="96"/>
        <v>-1046883</v>
      </c>
      <c r="F170" s="34">
        <f t="shared" si="96"/>
        <v>-191713</v>
      </c>
      <c r="H170" s="33" t="s">
        <v>28</v>
      </c>
      <c r="I170" s="12">
        <f t="shared" ref="I170:L170" si="97">SUMIF(I166:I169,"&lt;0",I166:I169)</f>
        <v>-8132608</v>
      </c>
      <c r="J170" s="13">
        <f t="shared" si="97"/>
        <v>-6456308</v>
      </c>
      <c r="K170" s="13">
        <f t="shared" si="97"/>
        <v>-1046883</v>
      </c>
      <c r="L170" s="34">
        <f t="shared" si="97"/>
        <v>-191713</v>
      </c>
    </row>
    <row r="171" spans="2:12" ht="15.75" thickBot="1">
      <c r="B171" s="35" t="s">
        <v>13</v>
      </c>
      <c r="C171" s="14">
        <f t="shared" ref="C171:F171" si="98">SUMIF(C166:C169,"&gt;0",C166:C169)</f>
        <v>7393697</v>
      </c>
      <c r="D171" s="15">
        <f t="shared" si="98"/>
        <v>6048236</v>
      </c>
      <c r="E171" s="15">
        <f t="shared" si="98"/>
        <v>1047450</v>
      </c>
      <c r="F171" s="36">
        <f t="shared" si="98"/>
        <v>159754</v>
      </c>
      <c r="H171" s="35" t="s">
        <v>29</v>
      </c>
      <c r="I171" s="14">
        <f t="shared" ref="I171:L171" si="99">SUMIF(I166:I169,"&gt;0",I166:I169)</f>
        <v>7393697</v>
      </c>
      <c r="J171" s="15">
        <f t="shared" si="99"/>
        <v>6048236</v>
      </c>
      <c r="K171" s="15">
        <f t="shared" si="99"/>
        <v>1047450</v>
      </c>
      <c r="L171" s="36">
        <f t="shared" si="99"/>
        <v>159754</v>
      </c>
    </row>
    <row r="172" spans="2:12" ht="16.5" customHeight="1" thickTop="1" thickBot="1">
      <c r="B172" s="18" t="s">
        <v>14</v>
      </c>
      <c r="C172" s="16">
        <f>-C170/C171</f>
        <v>1.0999379606710959</v>
      </c>
      <c r="D172" s="16">
        <f t="shared" ref="D172:F172" si="100">-D170/D171</f>
        <v>1.0674695894803046</v>
      </c>
      <c r="E172" s="16">
        <f t="shared" si="100"/>
        <v>0.99945868537877702</v>
      </c>
      <c r="F172" s="17">
        <f t="shared" si="100"/>
        <v>1.2000513289182118</v>
      </c>
      <c r="H172" s="41" t="s">
        <v>30</v>
      </c>
      <c r="I172" s="16">
        <f>-I170/I171</f>
        <v>1.0999379606710959</v>
      </c>
      <c r="J172" s="16">
        <f t="shared" ref="J172:L172" si="101">-J170/J171</f>
        <v>1.0674695894803046</v>
      </c>
      <c r="K172" s="16">
        <f t="shared" si="101"/>
        <v>0.99945868537877702</v>
      </c>
      <c r="L172" s="17">
        <f t="shared" si="101"/>
        <v>1.2000513289182118</v>
      </c>
    </row>
    <row r="173" spans="2:12" ht="15.75" thickBot="1"/>
    <row r="174" spans="2:12" ht="18.75" thickBot="1">
      <c r="B174" s="56">
        <v>2019</v>
      </c>
      <c r="C174" s="57"/>
      <c r="D174" s="57"/>
      <c r="E174" s="57"/>
      <c r="F174" s="58"/>
      <c r="H174" s="56">
        <f>B174</f>
        <v>2019</v>
      </c>
      <c r="I174" s="57"/>
      <c r="J174" s="57"/>
      <c r="K174" s="57"/>
      <c r="L174" s="58"/>
    </row>
    <row r="175" spans="2:12" ht="15.75" thickBot="1">
      <c r="B175" s="26"/>
      <c r="C175" s="23" t="s">
        <v>1</v>
      </c>
      <c r="D175" s="5" t="s">
        <v>15</v>
      </c>
      <c r="E175" s="5" t="s">
        <v>31</v>
      </c>
      <c r="F175" s="27" t="s">
        <v>4</v>
      </c>
      <c r="H175" s="26"/>
      <c r="I175" s="23" t="s">
        <v>1</v>
      </c>
      <c r="J175" s="5" t="s">
        <v>15</v>
      </c>
      <c r="K175" s="5" t="s">
        <v>31</v>
      </c>
      <c r="L175" s="27" t="s">
        <v>4</v>
      </c>
    </row>
    <row r="176" spans="2:12">
      <c r="B176" s="28" t="s">
        <v>2</v>
      </c>
      <c r="C176" s="6">
        <f>_xlfn.XLOOKUP(B174,Table1[Ár],Table1[7300 Fjarðabyggð])</f>
        <v>-8470780</v>
      </c>
      <c r="D176" s="7">
        <f>_xlfn.XLOOKUP(B174,Table1[Ár],Table1[7400 Múlaþing])</f>
        <v>-6877419</v>
      </c>
      <c r="E176" s="7">
        <f>_xlfn.XLOOKUP(B174,Table1[Ár],Table1[7502 Vopnafjarðarhreppur])</f>
        <v>-1060743</v>
      </c>
      <c r="F176" s="29">
        <f>_xlfn.XLOOKUP(B174,Table1[Ár],Table1[7505 Fljótsdalshreppur])</f>
        <v>-270399</v>
      </c>
      <c r="H176" s="28" t="s">
        <v>24</v>
      </c>
      <c r="I176" s="6">
        <f>_xlfn.XLOOKUP(H174,Table1[Ár],Table1[7300 Fjarðabyggð])</f>
        <v>-8470780</v>
      </c>
      <c r="J176" s="7">
        <f>_xlfn.XLOOKUP(H174,Table1[Ár],Table1[7400 Múlaþing])</f>
        <v>-6877419</v>
      </c>
      <c r="K176" s="7">
        <f>_xlfn.XLOOKUP(H174,Table1[Ár],Table1[7502 Vopnafjarðarhreppur])</f>
        <v>-1060743</v>
      </c>
      <c r="L176" s="29">
        <f>_xlfn.XLOOKUP(H174,Table1[Ár],Table1[7505 Fljótsdalshreppur])</f>
        <v>-270399</v>
      </c>
    </row>
    <row r="177" spans="2:12">
      <c r="B177" s="30" t="s">
        <v>9</v>
      </c>
      <c r="C177" s="8">
        <f>_xlfn.XLOOKUP(B174,Table7[Ár],Table7[7300 Fjarðabyggð])</f>
        <v>7557260</v>
      </c>
      <c r="D177" s="8">
        <f>_xlfn.XLOOKUP(B174,Table7[Ár],Table7[7400 Múlaþing])</f>
        <v>5991397</v>
      </c>
      <c r="E177" s="9">
        <f>_xlfn.XLOOKUP(B174,Table7[Ár],Table7[7502 Vopnafjarðarhreppur])</f>
        <v>1149829</v>
      </c>
      <c r="F177" s="31">
        <f>_xlfn.XLOOKUP(B174,Table7[Ár],Table7[7505 Fljótsdalshreppur])</f>
        <v>276185</v>
      </c>
      <c r="H177" s="30" t="s">
        <v>25</v>
      </c>
      <c r="I177" s="8">
        <f>_xlfn.XLOOKUP(H174,Table7[Ár],Table7[7300 Fjarðabyggð])</f>
        <v>7557260</v>
      </c>
      <c r="J177" s="8">
        <f>_xlfn.XLOOKUP(H174,Table7[Ár],Table7[7400 Múlaþing])</f>
        <v>5991397</v>
      </c>
      <c r="K177" s="9">
        <f>_xlfn.XLOOKUP(H174,Table7[Ár],Table7[7502 Vopnafjarðarhreppur])</f>
        <v>1149829</v>
      </c>
      <c r="L177" s="31">
        <f>_xlfn.XLOOKUP(H174,Table7[Ár],Table7[7505 Fljótsdalshreppur])</f>
        <v>276185</v>
      </c>
    </row>
    <row r="178" spans="2:12">
      <c r="B178" s="30" t="s">
        <v>10</v>
      </c>
      <c r="C178" s="8">
        <f>_xlfn.XLOOKUP(B174,Table10[Ár],Table10[7300 Fjarðabyggð])</f>
        <v>333963</v>
      </c>
      <c r="D178" s="9">
        <f>_xlfn.XLOOKUP(B174,Table10[Ár],Table10[7400 Múlaþing])</f>
        <v>445249</v>
      </c>
      <c r="E178" s="9">
        <f>_xlfn.XLOOKUP(B174,Table10[Ár],Table10[7502 Vopnafjarðarhreppur])</f>
        <v>15583</v>
      </c>
      <c r="F178" s="31">
        <f>_xlfn.XLOOKUP(B174,Table10[Ár],Table10[7505 Fljótsdalshreppur])</f>
        <v>-6682</v>
      </c>
      <c r="H178" s="30" t="s">
        <v>26</v>
      </c>
      <c r="I178" s="8">
        <f>_xlfn.XLOOKUP(H174,Table10[Ár],Table10[7300 Fjarðabyggð])</f>
        <v>333963</v>
      </c>
      <c r="J178" s="9">
        <f>_xlfn.XLOOKUP(H174,Table10[Ár],Table10[7400 Múlaþing])</f>
        <v>445249</v>
      </c>
      <c r="K178" s="9">
        <f>_xlfn.XLOOKUP(H174,Table10[Ár],Table10[7502 Vopnafjarðarhreppur])</f>
        <v>15583</v>
      </c>
      <c r="L178" s="31">
        <f>_xlfn.XLOOKUP(H174,Table10[Ár],Table10[7505 Fljótsdalshreppur])</f>
        <v>-6682</v>
      </c>
    </row>
    <row r="179" spans="2:12" ht="15.75" thickBot="1">
      <c r="B179" s="30" t="s">
        <v>11</v>
      </c>
      <c r="C179" s="10">
        <f>_xlfn.XLOOKUP(B174,Table11[Ár],Table11[7300 Fjarðabyggð])</f>
        <v>3</v>
      </c>
      <c r="D179" s="11">
        <f>_xlfn.XLOOKUP(B174,Table11[Ár],Table11[7400 Múlaþing])</f>
        <v>14072</v>
      </c>
      <c r="E179" s="11">
        <f>_xlfn.XLOOKUP(B174,Table11[Ár],Table11[7502 Vopnafjarðarhreppur])</f>
        <v>0</v>
      </c>
      <c r="F179" s="32">
        <f>_xlfn.XLOOKUP(B174,Table11[Ár],Table11[7505 Fljótsdalshreppur])</f>
        <v>0</v>
      </c>
      <c r="H179" s="30" t="s">
        <v>27</v>
      </c>
      <c r="I179" s="10">
        <f>_xlfn.XLOOKUP(H174,Table11[Ár],Table11[7300 Fjarðabyggð])</f>
        <v>3</v>
      </c>
      <c r="J179" s="11">
        <f>_xlfn.XLOOKUP(H174,Table11[Ár],Table11[7400 Múlaþing])</f>
        <v>14072</v>
      </c>
      <c r="K179" s="11">
        <f>_xlfn.XLOOKUP(H174,Table11[Ár],Table11[7502 Vopnafjarðarhreppur])</f>
        <v>0</v>
      </c>
      <c r="L179" s="32">
        <f>_xlfn.XLOOKUP(H174,Table11[Ár],Table11[7505 Fljótsdalshreppur])</f>
        <v>0</v>
      </c>
    </row>
    <row r="180" spans="2:12">
      <c r="B180" s="33" t="s">
        <v>12</v>
      </c>
      <c r="C180" s="12">
        <f t="shared" ref="C180:F180" si="102">SUMIF(C176:C179,"&lt;0",C176:C179)</f>
        <v>-8470780</v>
      </c>
      <c r="D180" s="13">
        <f t="shared" si="102"/>
        <v>-6877419</v>
      </c>
      <c r="E180" s="13">
        <f t="shared" si="102"/>
        <v>-1060743</v>
      </c>
      <c r="F180" s="34">
        <f t="shared" si="102"/>
        <v>-277081</v>
      </c>
      <c r="H180" s="33" t="s">
        <v>28</v>
      </c>
      <c r="I180" s="12">
        <f t="shared" ref="I180:L180" si="103">SUMIF(I176:I179,"&lt;0",I176:I179)</f>
        <v>-8470780</v>
      </c>
      <c r="J180" s="13">
        <f t="shared" si="103"/>
        <v>-6877419</v>
      </c>
      <c r="K180" s="13">
        <f t="shared" si="103"/>
        <v>-1060743</v>
      </c>
      <c r="L180" s="34">
        <f t="shared" si="103"/>
        <v>-277081</v>
      </c>
    </row>
    <row r="181" spans="2:12" ht="15.75" thickBot="1">
      <c r="B181" s="35" t="s">
        <v>13</v>
      </c>
      <c r="C181" s="14">
        <f t="shared" ref="C181:F181" si="104">SUMIF(C176:C179,"&gt;0",C176:C179)</f>
        <v>7891226</v>
      </c>
      <c r="D181" s="15">
        <f t="shared" si="104"/>
        <v>6450718</v>
      </c>
      <c r="E181" s="15">
        <f t="shared" si="104"/>
        <v>1165412</v>
      </c>
      <c r="F181" s="36">
        <f t="shared" si="104"/>
        <v>276185</v>
      </c>
      <c r="H181" s="35" t="s">
        <v>29</v>
      </c>
      <c r="I181" s="14">
        <f t="shared" ref="I181:L181" si="105">SUMIF(I176:I179,"&gt;0",I176:I179)</f>
        <v>7891226</v>
      </c>
      <c r="J181" s="15">
        <f t="shared" si="105"/>
        <v>6450718</v>
      </c>
      <c r="K181" s="15">
        <f t="shared" si="105"/>
        <v>1165412</v>
      </c>
      <c r="L181" s="36">
        <f t="shared" si="105"/>
        <v>276185</v>
      </c>
    </row>
    <row r="182" spans="2:12" ht="16.5" customHeight="1" thickTop="1" thickBot="1">
      <c r="B182" s="18" t="s">
        <v>14</v>
      </c>
      <c r="C182" s="16">
        <f>-C180/C181</f>
        <v>1.0734428338511659</v>
      </c>
      <c r="D182" s="16">
        <f t="shared" ref="D182:F182" si="106">-D180/D181</f>
        <v>1.0661478303655501</v>
      </c>
      <c r="E182" s="16">
        <f t="shared" si="106"/>
        <v>0.9101871269559606</v>
      </c>
      <c r="F182" s="17">
        <f t="shared" si="106"/>
        <v>1.0032442022557344</v>
      </c>
      <c r="H182" s="41" t="s">
        <v>30</v>
      </c>
      <c r="I182" s="16">
        <f>-I180/I181</f>
        <v>1.0734428338511659</v>
      </c>
      <c r="J182" s="16">
        <f t="shared" ref="J182:L182" si="107">-J180/J181</f>
        <v>1.0661478303655501</v>
      </c>
      <c r="K182" s="16">
        <f t="shared" si="107"/>
        <v>0.9101871269559606</v>
      </c>
      <c r="L182" s="17">
        <f t="shared" si="107"/>
        <v>1.0032442022557344</v>
      </c>
    </row>
    <row r="183" spans="2:12" ht="15.75" thickBot="1"/>
    <row r="184" spans="2:12" ht="18.75" thickBot="1">
      <c r="B184" s="56">
        <v>2020</v>
      </c>
      <c r="C184" s="57"/>
      <c r="D184" s="57"/>
      <c r="E184" s="57"/>
      <c r="F184" s="58"/>
      <c r="H184" s="56">
        <f>B184</f>
        <v>2020</v>
      </c>
      <c r="I184" s="57"/>
      <c r="J184" s="57"/>
      <c r="K184" s="57"/>
      <c r="L184" s="58"/>
    </row>
    <row r="185" spans="2:12" ht="15.75" thickBot="1">
      <c r="B185" s="26"/>
      <c r="C185" s="23" t="s">
        <v>1</v>
      </c>
      <c r="D185" s="5" t="s">
        <v>15</v>
      </c>
      <c r="E185" s="5" t="s">
        <v>31</v>
      </c>
      <c r="F185" s="27" t="s">
        <v>4</v>
      </c>
      <c r="H185" s="26"/>
      <c r="I185" s="23" t="s">
        <v>1</v>
      </c>
      <c r="J185" s="5" t="s">
        <v>15</v>
      </c>
      <c r="K185" s="5" t="s">
        <v>31</v>
      </c>
      <c r="L185" s="27" t="s">
        <v>4</v>
      </c>
    </row>
    <row r="186" spans="2:12">
      <c r="B186" s="28" t="s">
        <v>2</v>
      </c>
      <c r="C186" s="6">
        <f>_xlfn.XLOOKUP(B184,Table1[Ár],Table1[7300 Fjarðabyggð])</f>
        <v>-8706317</v>
      </c>
      <c r="D186" s="7">
        <f>_xlfn.XLOOKUP(B184,Table1[Ár],Table1[7400 Múlaþing])</f>
        <v>-7095060</v>
      </c>
      <c r="E186" s="7">
        <f>_xlfn.XLOOKUP(B184,Table1[Ár],Table1[7502 Vopnafjarðarhreppur])</f>
        <v>-1182851</v>
      </c>
      <c r="F186" s="29">
        <f>_xlfn.XLOOKUP(B184,Table1[Ár],Table1[7505 Fljótsdalshreppur])</f>
        <v>-207389</v>
      </c>
      <c r="H186" s="28" t="s">
        <v>24</v>
      </c>
      <c r="I186" s="6">
        <f>_xlfn.XLOOKUP(H184,Table1[Ár],Table1[7300 Fjarðabyggð])</f>
        <v>-8706317</v>
      </c>
      <c r="J186" s="7">
        <f>_xlfn.XLOOKUP(H184,Table1[Ár],Table1[7400 Múlaþing])</f>
        <v>-7095060</v>
      </c>
      <c r="K186" s="7">
        <f>_xlfn.XLOOKUP(H184,Table1[Ár],Table1[7502 Vopnafjarðarhreppur])</f>
        <v>-1182851</v>
      </c>
      <c r="L186" s="29">
        <f>_xlfn.XLOOKUP(H184,Table1[Ár],Table1[7505 Fljótsdalshreppur])</f>
        <v>-207389</v>
      </c>
    </row>
    <row r="187" spans="2:12">
      <c r="B187" s="30" t="s">
        <v>9</v>
      </c>
      <c r="C187" s="8">
        <f>_xlfn.XLOOKUP(B184,Table7[Ár],Table7[7300 Fjarðabyggð])</f>
        <v>7943082</v>
      </c>
      <c r="D187" s="8">
        <f>_xlfn.XLOOKUP(B184,Table7[Ár],Table7[7400 Múlaþing])</f>
        <v>6702115</v>
      </c>
      <c r="E187" s="9">
        <f>_xlfn.XLOOKUP(B184,Table7[Ár],Table7[7502 Vopnafjarðarhreppur])</f>
        <v>1225808</v>
      </c>
      <c r="F187" s="31">
        <f>_xlfn.XLOOKUP(B184,Table7[Ár],Table7[7505 Fljótsdalshreppur])</f>
        <v>264449</v>
      </c>
      <c r="H187" s="30" t="s">
        <v>25</v>
      </c>
      <c r="I187" s="8">
        <f>_xlfn.XLOOKUP(H184,Table7[Ár],Table7[7300 Fjarðabyggð])</f>
        <v>7943082</v>
      </c>
      <c r="J187" s="8">
        <f>_xlfn.XLOOKUP(H184,Table7[Ár],Table7[7400 Múlaþing])</f>
        <v>6702115</v>
      </c>
      <c r="K187" s="9">
        <f>_xlfn.XLOOKUP(H184,Table7[Ár],Table7[7502 Vopnafjarðarhreppur])</f>
        <v>1225808</v>
      </c>
      <c r="L187" s="31">
        <f>_xlfn.XLOOKUP(H184,Table7[Ár],Table7[7505 Fljótsdalshreppur])</f>
        <v>264449</v>
      </c>
    </row>
    <row r="188" spans="2:12">
      <c r="B188" s="30" t="s">
        <v>10</v>
      </c>
      <c r="C188" s="8">
        <f>_xlfn.XLOOKUP(B184,Table10[Ár],Table10[7300 Fjarðabyggð])</f>
        <v>385763</v>
      </c>
      <c r="D188" s="9">
        <f>_xlfn.XLOOKUP(B184,Table10[Ár],Table10[7400 Múlaþing])</f>
        <v>487941</v>
      </c>
      <c r="E188" s="9">
        <f>_xlfn.XLOOKUP(B184,Table10[Ár],Table10[7502 Vopnafjarðarhreppur])</f>
        <v>32611</v>
      </c>
      <c r="F188" s="31">
        <f>_xlfn.XLOOKUP(B184,Table10[Ár],Table10[7505 Fljótsdalshreppur])</f>
        <v>-2069</v>
      </c>
      <c r="H188" s="30" t="s">
        <v>26</v>
      </c>
      <c r="I188" s="8">
        <f>_xlfn.XLOOKUP(H184,Table10[Ár],Table10[7300 Fjarðabyggð])</f>
        <v>385763</v>
      </c>
      <c r="J188" s="9">
        <f>_xlfn.XLOOKUP(H184,Table10[Ár],Table10[7400 Múlaþing])</f>
        <v>487941</v>
      </c>
      <c r="K188" s="9">
        <f>_xlfn.XLOOKUP(H184,Table10[Ár],Table10[7502 Vopnafjarðarhreppur])</f>
        <v>32611</v>
      </c>
      <c r="L188" s="31">
        <f>_xlfn.XLOOKUP(H184,Table10[Ár],Table10[7505 Fljótsdalshreppur])</f>
        <v>-2069</v>
      </c>
    </row>
    <row r="189" spans="2:12" ht="15.75" thickBot="1">
      <c r="B189" s="30" t="s">
        <v>11</v>
      </c>
      <c r="C189" s="10">
        <f>_xlfn.XLOOKUP(B184,Table11[Ár],Table11[7300 Fjarðabyggð])</f>
        <v>166970</v>
      </c>
      <c r="D189" s="11">
        <f>_xlfn.XLOOKUP(B184,Table11[Ár],Table11[7400 Múlaþing])</f>
        <v>15256</v>
      </c>
      <c r="E189" s="11">
        <f>_xlfn.XLOOKUP(B184,Table11[Ár],Table11[7502 Vopnafjarðarhreppur])</f>
        <v>-8679</v>
      </c>
      <c r="F189" s="32">
        <f>_xlfn.XLOOKUP(B184,Table11[Ár],Table11[7505 Fljótsdalshreppur])</f>
        <v>0</v>
      </c>
      <c r="H189" s="30" t="s">
        <v>27</v>
      </c>
      <c r="I189" s="10">
        <f>_xlfn.XLOOKUP(H184,Table11[Ár],Table11[7300 Fjarðabyggð])</f>
        <v>166970</v>
      </c>
      <c r="J189" s="11">
        <f>_xlfn.XLOOKUP(H184,Table11[Ár],Table11[7400 Múlaþing])</f>
        <v>15256</v>
      </c>
      <c r="K189" s="11">
        <f>_xlfn.XLOOKUP(H184,Table11[Ár],Table11[7502 Vopnafjarðarhreppur])</f>
        <v>-8679</v>
      </c>
      <c r="L189" s="32">
        <f>_xlfn.XLOOKUP(H184,Table11[Ár],Table11[7505 Fljótsdalshreppur])</f>
        <v>0</v>
      </c>
    </row>
    <row r="190" spans="2:12">
      <c r="B190" s="33" t="s">
        <v>12</v>
      </c>
      <c r="C190" s="12">
        <f t="shared" ref="C190:F190" si="108">SUMIF(C186:C189,"&lt;0",C186:C189)</f>
        <v>-8706317</v>
      </c>
      <c r="D190" s="13">
        <f t="shared" si="108"/>
        <v>-7095060</v>
      </c>
      <c r="E190" s="13">
        <f t="shared" si="108"/>
        <v>-1191530</v>
      </c>
      <c r="F190" s="34">
        <f t="shared" si="108"/>
        <v>-209458</v>
      </c>
      <c r="H190" s="33" t="s">
        <v>28</v>
      </c>
      <c r="I190" s="12">
        <f t="shared" ref="I190:L190" si="109">SUMIF(I186:I189,"&lt;0",I186:I189)</f>
        <v>-8706317</v>
      </c>
      <c r="J190" s="13">
        <f t="shared" si="109"/>
        <v>-7095060</v>
      </c>
      <c r="K190" s="13">
        <f t="shared" si="109"/>
        <v>-1191530</v>
      </c>
      <c r="L190" s="34">
        <f t="shared" si="109"/>
        <v>-209458</v>
      </c>
    </row>
    <row r="191" spans="2:12" ht="15.75" thickBot="1">
      <c r="B191" s="35" t="s">
        <v>13</v>
      </c>
      <c r="C191" s="14">
        <f t="shared" ref="C191:F191" si="110">SUMIF(C186:C189,"&gt;0",C186:C189)</f>
        <v>8495815</v>
      </c>
      <c r="D191" s="15">
        <f t="shared" si="110"/>
        <v>7205312</v>
      </c>
      <c r="E191" s="15">
        <f t="shared" si="110"/>
        <v>1258419</v>
      </c>
      <c r="F191" s="36">
        <f t="shared" si="110"/>
        <v>264449</v>
      </c>
      <c r="H191" s="35" t="s">
        <v>29</v>
      </c>
      <c r="I191" s="14">
        <f t="shared" ref="I191:L191" si="111">SUMIF(I186:I189,"&gt;0",I186:I189)</f>
        <v>8495815</v>
      </c>
      <c r="J191" s="15">
        <f t="shared" si="111"/>
        <v>7205312</v>
      </c>
      <c r="K191" s="15">
        <f t="shared" si="111"/>
        <v>1258419</v>
      </c>
      <c r="L191" s="36">
        <f t="shared" si="111"/>
        <v>264449</v>
      </c>
    </row>
    <row r="192" spans="2:12" ht="16.5" thickTop="1" thickBot="1">
      <c r="B192" s="18" t="s">
        <v>14</v>
      </c>
      <c r="C192" s="16">
        <f>-C190/C191</f>
        <v>1.0247771402743586</v>
      </c>
      <c r="D192" s="16">
        <f t="shared" ref="D192:F192" si="112">-D190/D191</f>
        <v>0.98469851132053687</v>
      </c>
      <c r="E192" s="16">
        <f t="shared" si="112"/>
        <v>0.94684679744981604</v>
      </c>
      <c r="F192" s="17">
        <f t="shared" si="112"/>
        <v>0.79205442259187975</v>
      </c>
      <c r="H192" s="41" t="s">
        <v>30</v>
      </c>
      <c r="I192" s="16">
        <f>-I190/I191</f>
        <v>1.0247771402743586</v>
      </c>
      <c r="J192" s="16">
        <f t="shared" ref="J192:L192" si="113">-J190/J191</f>
        <v>0.98469851132053687</v>
      </c>
      <c r="K192" s="16">
        <f t="shared" si="113"/>
        <v>0.94684679744981604</v>
      </c>
      <c r="L192" s="17">
        <f t="shared" si="113"/>
        <v>0.79205442259187975</v>
      </c>
    </row>
    <row r="193" spans="2:18" ht="15.75" thickBot="1">
      <c r="N193" t="s">
        <v>17</v>
      </c>
      <c r="O193" s="23" t="s">
        <v>1</v>
      </c>
      <c r="P193" s="5" t="s">
        <v>15</v>
      </c>
      <c r="Q193" s="5" t="s">
        <v>31</v>
      </c>
      <c r="R193" s="27" t="s">
        <v>4</v>
      </c>
    </row>
    <row r="194" spans="2:18" ht="18.75" thickBot="1">
      <c r="B194" s="56">
        <v>2021</v>
      </c>
      <c r="C194" s="57"/>
      <c r="D194" s="57"/>
      <c r="E194" s="57"/>
      <c r="F194" s="58"/>
      <c r="H194" s="56">
        <f>B194</f>
        <v>2021</v>
      </c>
      <c r="I194" s="57"/>
      <c r="J194" s="57"/>
      <c r="K194" s="57"/>
      <c r="L194" s="58"/>
      <c r="N194">
        <v>2002</v>
      </c>
      <c r="O194" s="43">
        <f>C11</f>
        <v>0.96179340232267874</v>
      </c>
      <c r="P194" s="43">
        <f>D11</f>
        <v>0.96529215990811679</v>
      </c>
      <c r="Q194" s="43">
        <f>E11</f>
        <v>0.87239898411867933</v>
      </c>
      <c r="R194" s="43">
        <f>F11</f>
        <v>0.98416899846227535</v>
      </c>
    </row>
    <row r="195" spans="2:18" ht="15.75" thickBot="1">
      <c r="B195" s="26"/>
      <c r="C195" s="23" t="s">
        <v>1</v>
      </c>
      <c r="D195" s="5" t="s">
        <v>15</v>
      </c>
      <c r="E195" s="5" t="s">
        <v>31</v>
      </c>
      <c r="F195" s="27" t="s">
        <v>4</v>
      </c>
      <c r="H195" s="26"/>
      <c r="I195" s="23" t="s">
        <v>1</v>
      </c>
      <c r="J195" s="5" t="s">
        <v>15</v>
      </c>
      <c r="K195" s="5" t="s">
        <v>31</v>
      </c>
      <c r="L195" s="27" t="s">
        <v>4</v>
      </c>
      <c r="N195">
        <v>2003</v>
      </c>
      <c r="O195" s="43">
        <f>C21</f>
        <v>0.83272444107761512</v>
      </c>
      <c r="P195" s="43">
        <f>D21</f>
        <v>0.94315621570233876</v>
      </c>
      <c r="Q195" s="43">
        <f>E21</f>
        <v>0.83401918102242001</v>
      </c>
      <c r="R195" s="43">
        <f>F21</f>
        <v>1.085475719622061</v>
      </c>
    </row>
    <row r="196" spans="2:18">
      <c r="B196" s="28" t="s">
        <v>2</v>
      </c>
      <c r="C196" s="6">
        <f>_xlfn.XLOOKUP(B194,Table1[Ár],Table1[7300 Fjarðabyggð])</f>
        <v>-8746489</v>
      </c>
      <c r="D196" s="7">
        <f>_xlfn.XLOOKUP(B194,Table1[Ár],Table1[7400 Múlaþing])</f>
        <v>-7860098</v>
      </c>
      <c r="E196" s="7">
        <f>_xlfn.XLOOKUP(B194,Table1[Ár],Table1[7502 Vopnafjarðarhreppur])</f>
        <v>-1328196</v>
      </c>
      <c r="F196" s="29">
        <f>_xlfn.XLOOKUP(B194,Table1[Ár],Table1[7505 Fljótsdalshreppur])</f>
        <v>-224115</v>
      </c>
      <c r="H196" s="28" t="s">
        <v>24</v>
      </c>
      <c r="I196" s="6">
        <f>_xlfn.XLOOKUP(H194,Table1[Ár],Table1[7300 Fjarðabyggð])</f>
        <v>-8746489</v>
      </c>
      <c r="J196" s="7">
        <f>_xlfn.XLOOKUP(H194,Table1[Ár],Table1[7400 Múlaþing])</f>
        <v>-7860098</v>
      </c>
      <c r="K196" s="7">
        <f>_xlfn.XLOOKUP(H194,Table1[Ár],Table1[7502 Vopnafjarðarhreppur])</f>
        <v>-1328196</v>
      </c>
      <c r="L196" s="29">
        <f>_xlfn.XLOOKUP(H194,Table1[Ár],Table1[7505 Fljótsdalshreppur])</f>
        <v>-224115</v>
      </c>
      <c r="N196">
        <v>2004</v>
      </c>
      <c r="O196" s="43">
        <f>C31</f>
        <v>0.92436757159363581</v>
      </c>
      <c r="P196" s="43">
        <f>D31</f>
        <v>0.96700835145406272</v>
      </c>
      <c r="Q196" s="43">
        <f>E31</f>
        <v>0.86599664308395752</v>
      </c>
      <c r="R196" s="43">
        <f>F31</f>
        <v>2.2597472991663863</v>
      </c>
    </row>
    <row r="197" spans="2:18">
      <c r="B197" s="30" t="s">
        <v>9</v>
      </c>
      <c r="C197" s="8">
        <f>_xlfn.XLOOKUP(B194,Table7[Ár],Table7[7300 Fjarðabyggð])</f>
        <v>8137221</v>
      </c>
      <c r="D197" s="8">
        <f>_xlfn.XLOOKUP(B194,Table7[Ár],Table7[7400 Múlaþing])</f>
        <v>7275206</v>
      </c>
      <c r="E197" s="9">
        <f>_xlfn.XLOOKUP(B194,Table7[Ár],Table7[7502 Vopnafjarðarhreppur])</f>
        <v>1313361</v>
      </c>
      <c r="F197" s="31">
        <f>_xlfn.XLOOKUP(B194,Table7[Ár],Table7[7505 Fljótsdalshreppur])</f>
        <v>289589</v>
      </c>
      <c r="H197" s="30" t="s">
        <v>25</v>
      </c>
      <c r="I197" s="8">
        <f>_xlfn.XLOOKUP(H194,Table7[Ár],Table7[7300 Fjarðabyggð])</f>
        <v>8137221</v>
      </c>
      <c r="J197" s="8">
        <f>_xlfn.XLOOKUP(H194,Table7[Ár],Table7[7400 Múlaþing])</f>
        <v>7275206</v>
      </c>
      <c r="K197" s="9">
        <f>_xlfn.XLOOKUP(H194,Table7[Ár],Table7[7502 Vopnafjarðarhreppur])</f>
        <v>1313361</v>
      </c>
      <c r="L197" s="31">
        <f>_xlfn.XLOOKUP(H194,Table7[Ár],Table7[7505 Fljótsdalshreppur])</f>
        <v>289589</v>
      </c>
      <c r="N197">
        <v>2005</v>
      </c>
      <c r="O197" s="43">
        <f>C41</f>
        <v>0.96538928381977818</v>
      </c>
      <c r="P197" s="43">
        <f>D41</f>
        <v>1.0472234630464112</v>
      </c>
      <c r="Q197" s="43">
        <f>E41</f>
        <v>0.92004002671486895</v>
      </c>
      <c r="R197" s="43">
        <f>F41</f>
        <v>2.2451307348479586</v>
      </c>
    </row>
    <row r="198" spans="2:18">
      <c r="B198" s="30" t="s">
        <v>10</v>
      </c>
      <c r="C198" s="8">
        <f>_xlfn.XLOOKUP(B194,Table10[Ár],Table10[7300 Fjarðabyggð])</f>
        <v>377886</v>
      </c>
      <c r="D198" s="9">
        <f>_xlfn.XLOOKUP(B194,Table10[Ár],Table10[7400 Múlaþing])</f>
        <v>465632</v>
      </c>
      <c r="E198" s="9">
        <f>_xlfn.XLOOKUP(B194,Table10[Ár],Table10[7502 Vopnafjarðarhreppur])</f>
        <v>45933</v>
      </c>
      <c r="F198" s="31">
        <f>_xlfn.XLOOKUP(B194,Table10[Ár],Table10[7505 Fljótsdalshreppur])</f>
        <v>-1639</v>
      </c>
      <c r="H198" s="30" t="s">
        <v>26</v>
      </c>
      <c r="I198" s="8">
        <f>_xlfn.XLOOKUP(H194,Table10[Ár],Table10[7300 Fjarðabyggð])</f>
        <v>377886</v>
      </c>
      <c r="J198" s="9">
        <f>_xlfn.XLOOKUP(H194,Table10[Ár],Table10[7400 Múlaþing])</f>
        <v>465632</v>
      </c>
      <c r="K198" s="9">
        <f>_xlfn.XLOOKUP(H194,Table10[Ár],Table10[7502 Vopnafjarðarhreppur])</f>
        <v>45933</v>
      </c>
      <c r="L198" s="31">
        <f>_xlfn.XLOOKUP(H194,Table10[Ár],Table10[7505 Fljótsdalshreppur])</f>
        <v>-1639</v>
      </c>
      <c r="N198">
        <v>2006</v>
      </c>
      <c r="O198" s="43">
        <f>C51</f>
        <v>1.0818844012449342</v>
      </c>
      <c r="P198" s="43">
        <f>D51</f>
        <v>1.0450229911457751</v>
      </c>
      <c r="Q198" s="43">
        <f>E51</f>
        <v>0.90471392990903676</v>
      </c>
      <c r="R198" s="43">
        <f>F51</f>
        <v>3.2702098579116718</v>
      </c>
    </row>
    <row r="199" spans="2:18" ht="15.75" thickBot="1">
      <c r="B199" s="30" t="s">
        <v>11</v>
      </c>
      <c r="C199" s="10">
        <f>_xlfn.XLOOKUP(B194,Table11[Ár],Table11[7300 Fjarðabyggð])</f>
        <v>8689</v>
      </c>
      <c r="D199" s="11">
        <f>_xlfn.XLOOKUP(B194,Table11[Ár],Table11[7400 Múlaþing])</f>
        <v>27171</v>
      </c>
      <c r="E199" s="11">
        <f>_xlfn.XLOOKUP(B194,Table11[Ár],Table11[7502 Vopnafjarðarhreppur])</f>
        <v>1185</v>
      </c>
      <c r="F199" s="32">
        <f>_xlfn.XLOOKUP(B194,Table11[Ár],Table11[7505 Fljótsdalshreppur])</f>
        <v>0</v>
      </c>
      <c r="H199" s="30" t="s">
        <v>27</v>
      </c>
      <c r="I199" s="10">
        <f>_xlfn.XLOOKUP(H194,Table11[Ár],Table11[7300 Fjarðabyggð])</f>
        <v>8689</v>
      </c>
      <c r="J199" s="11">
        <f>_xlfn.XLOOKUP(H194,Table11[Ár],Table11[7400 Múlaþing])</f>
        <v>27171</v>
      </c>
      <c r="K199" s="11">
        <f>_xlfn.XLOOKUP(H194,Table11[Ár],Table11[7502 Vopnafjarðarhreppur])</f>
        <v>1185</v>
      </c>
      <c r="L199" s="32">
        <f>_xlfn.XLOOKUP(H194,Table11[Ár],Table11[7505 Fljótsdalshreppur])</f>
        <v>0</v>
      </c>
      <c r="N199">
        <v>2007</v>
      </c>
      <c r="O199" s="43">
        <f>C61</f>
        <v>1.1387967834051667</v>
      </c>
      <c r="P199" s="43">
        <f>D61</f>
        <v>1.0580126889186359</v>
      </c>
      <c r="Q199" s="43">
        <f>E61</f>
        <v>1.0315934005093566</v>
      </c>
      <c r="R199" s="43">
        <f>F61</f>
        <v>3.5813992084769564</v>
      </c>
    </row>
    <row r="200" spans="2:18">
      <c r="B200" s="33" t="s">
        <v>12</v>
      </c>
      <c r="C200" s="12">
        <f t="shared" ref="C200:F200" si="114">SUMIF(C196:C199,"&lt;0",C196:C199)</f>
        <v>-8746489</v>
      </c>
      <c r="D200" s="13">
        <f t="shared" si="114"/>
        <v>-7860098</v>
      </c>
      <c r="E200" s="13">
        <f t="shared" si="114"/>
        <v>-1328196</v>
      </c>
      <c r="F200" s="34">
        <f t="shared" si="114"/>
        <v>-225754</v>
      </c>
      <c r="H200" s="33" t="s">
        <v>28</v>
      </c>
      <c r="I200" s="12">
        <f t="shared" ref="I200:L200" si="115">SUMIF(I196:I199,"&lt;0",I196:I199)</f>
        <v>-8746489</v>
      </c>
      <c r="J200" s="13">
        <f t="shared" si="115"/>
        <v>-7860098</v>
      </c>
      <c r="K200" s="13">
        <f t="shared" si="115"/>
        <v>-1328196</v>
      </c>
      <c r="L200" s="34">
        <f t="shared" si="115"/>
        <v>-225754</v>
      </c>
      <c r="N200">
        <v>2008</v>
      </c>
      <c r="O200" s="43">
        <f>C72</f>
        <v>0.72776173756849583</v>
      </c>
      <c r="P200" s="43">
        <f>D72</f>
        <v>0.76200214237024055</v>
      </c>
      <c r="Q200" s="43">
        <f>E72</f>
        <v>0.79910220842242496</v>
      </c>
      <c r="R200" s="43">
        <f>F72</f>
        <v>1.799523295869724</v>
      </c>
    </row>
    <row r="201" spans="2:18" ht="15.75" thickBot="1">
      <c r="B201" s="35" t="s">
        <v>13</v>
      </c>
      <c r="C201" s="14">
        <f t="shared" ref="C201:F201" si="116">SUMIF(C196:C199,"&gt;0",C196:C199)</f>
        <v>8523796</v>
      </c>
      <c r="D201" s="15">
        <f t="shared" si="116"/>
        <v>7768009</v>
      </c>
      <c r="E201" s="15">
        <f t="shared" si="116"/>
        <v>1360479</v>
      </c>
      <c r="F201" s="36">
        <f t="shared" si="116"/>
        <v>289589</v>
      </c>
      <c r="H201" s="35" t="s">
        <v>29</v>
      </c>
      <c r="I201" s="14">
        <f t="shared" ref="I201:L201" si="117">SUMIF(I196:I199,"&gt;0",I196:I199)</f>
        <v>8523796</v>
      </c>
      <c r="J201" s="15">
        <f t="shared" si="117"/>
        <v>7768009</v>
      </c>
      <c r="K201" s="15">
        <f t="shared" si="117"/>
        <v>1360479</v>
      </c>
      <c r="L201" s="36">
        <f t="shared" si="117"/>
        <v>289589</v>
      </c>
      <c r="N201">
        <v>2009</v>
      </c>
      <c r="O201" s="43">
        <f>C82</f>
        <v>0.87575752040083898</v>
      </c>
      <c r="P201" s="43">
        <f>D82</f>
        <v>0.86115483754878319</v>
      </c>
      <c r="Q201" s="43">
        <f>E82</f>
        <v>0.92201263038047176</v>
      </c>
      <c r="R201" s="43">
        <f>F82</f>
        <v>1.9592259123736999</v>
      </c>
    </row>
    <row r="202" spans="2:18" ht="16.5" thickTop="1" thickBot="1">
      <c r="B202" s="18" t="s">
        <v>14</v>
      </c>
      <c r="C202" s="16">
        <f>-C200/C201</f>
        <v>1.0261260358647719</v>
      </c>
      <c r="D202" s="16">
        <f t="shared" ref="D202:F202" si="118">-D200/D201</f>
        <v>1.0118549038756264</v>
      </c>
      <c r="E202" s="16">
        <f t="shared" si="118"/>
        <v>0.97627085754355636</v>
      </c>
      <c r="F202" s="17">
        <f t="shared" si="118"/>
        <v>0.7795669034390118</v>
      </c>
      <c r="H202" s="41" t="s">
        <v>30</v>
      </c>
      <c r="I202" s="16">
        <f>-I200/I201</f>
        <v>1.0261260358647719</v>
      </c>
      <c r="J202" s="16">
        <f t="shared" ref="J202:L202" si="119">-J200/J201</f>
        <v>1.0118549038756264</v>
      </c>
      <c r="K202" s="16">
        <f t="shared" si="119"/>
        <v>0.97627085754355636</v>
      </c>
      <c r="L202" s="17">
        <f t="shared" si="119"/>
        <v>0.7795669034390118</v>
      </c>
      <c r="N202">
        <v>2010</v>
      </c>
      <c r="O202" s="43">
        <f>C92</f>
        <v>1.1680930872952093</v>
      </c>
      <c r="P202" s="43">
        <f>D92</f>
        <v>0.9821894355857933</v>
      </c>
      <c r="Q202" s="43">
        <f>E92</f>
        <v>1.0785003819810079</v>
      </c>
      <c r="R202" s="43">
        <f>F92</f>
        <v>1.1615470966425145</v>
      </c>
    </row>
    <row r="203" spans="2:18" ht="15.75" thickBot="1">
      <c r="N203">
        <v>2011</v>
      </c>
      <c r="O203" s="43">
        <f>C102</f>
        <v>1.0128600631931275</v>
      </c>
      <c r="P203" s="43">
        <f>D102</f>
        <v>0.95382459087742855</v>
      </c>
      <c r="Q203" s="43">
        <f>E102</f>
        <v>1.5029893300267736</v>
      </c>
      <c r="R203" s="43">
        <f>F102</f>
        <v>1.0935319126179845</v>
      </c>
    </row>
    <row r="204" spans="2:18" ht="18.75" thickBot="1">
      <c r="B204" s="56">
        <v>2022</v>
      </c>
      <c r="C204" s="57"/>
      <c r="D204" s="57"/>
      <c r="E204" s="57"/>
      <c r="F204" s="58"/>
      <c r="H204" s="56">
        <f>B204</f>
        <v>2022</v>
      </c>
      <c r="I204" s="57"/>
      <c r="J204" s="57"/>
      <c r="K204" s="57"/>
      <c r="L204" s="58"/>
      <c r="N204">
        <v>2012</v>
      </c>
      <c r="O204" s="43">
        <f>C112</f>
        <v>1.0902382473787708</v>
      </c>
      <c r="P204" s="43">
        <f>D112</f>
        <v>1.0071418139952331</v>
      </c>
      <c r="Q204" s="43">
        <f>E112</f>
        <v>1.1215964936695915</v>
      </c>
      <c r="R204" s="43">
        <f>F112</f>
        <v>0.95307846174104427</v>
      </c>
    </row>
    <row r="205" spans="2:18" ht="15.75" thickBot="1">
      <c r="B205" s="26"/>
      <c r="C205" s="23" t="s">
        <v>1</v>
      </c>
      <c r="D205" s="5" t="s">
        <v>15</v>
      </c>
      <c r="E205" s="5" t="s">
        <v>31</v>
      </c>
      <c r="F205" s="27" t="s">
        <v>4</v>
      </c>
      <c r="H205" s="26"/>
      <c r="I205" s="23" t="s">
        <v>1</v>
      </c>
      <c r="J205" s="5" t="s">
        <v>15</v>
      </c>
      <c r="K205" s="5" t="s">
        <v>31</v>
      </c>
      <c r="L205" s="27" t="s">
        <v>4</v>
      </c>
      <c r="N205">
        <v>2013</v>
      </c>
      <c r="O205" s="43">
        <f>C122</f>
        <v>1.2120660818837592</v>
      </c>
      <c r="P205" s="43">
        <f>D122</f>
        <v>1.0025809629906972</v>
      </c>
      <c r="Q205" s="43">
        <f>E122</f>
        <v>1.1591125308633365</v>
      </c>
      <c r="R205" s="43">
        <f>F122</f>
        <v>0.87757596164038487</v>
      </c>
    </row>
    <row r="206" spans="2:18">
      <c r="B206" s="28" t="s">
        <v>2</v>
      </c>
      <c r="C206" s="6">
        <f>_xlfn.XLOOKUP(B204,Table1[Ár],Table1[7300 Fjarðabyggð])</f>
        <v>-9443488</v>
      </c>
      <c r="D206" s="7">
        <f>_xlfn.XLOOKUP(B204,Table1[Ár],Table1[7400 Múlaþing])</f>
        <v>-8567008</v>
      </c>
      <c r="E206" s="7">
        <f>_xlfn.XLOOKUP(B204,Table1[Ár],Table1[7502 Vopnafjarðarhreppur])</f>
        <v>-1432127</v>
      </c>
      <c r="F206" s="29">
        <f>_xlfn.XLOOKUP(B204,Table1[Ár],Table1[7505 Fljótsdalshreppur])</f>
        <v>-252366</v>
      </c>
      <c r="H206" s="28" t="s">
        <v>24</v>
      </c>
      <c r="I206" s="6">
        <f>_xlfn.XLOOKUP(H204,Table1[Ár],Table1[7300 Fjarðabyggð])</f>
        <v>-9443488</v>
      </c>
      <c r="J206" s="7">
        <f>_xlfn.XLOOKUP(H204,Table1[Ár],Table1[7400 Múlaþing])</f>
        <v>-8567008</v>
      </c>
      <c r="K206" s="7">
        <f>_xlfn.XLOOKUP(H204,Table1[Ár],Table1[7502 Vopnafjarðarhreppur])</f>
        <v>-1432127</v>
      </c>
      <c r="L206" s="29">
        <f>_xlfn.XLOOKUP(H204,Table1[Ár],Table1[7505 Fljótsdalshreppur])</f>
        <v>-252366</v>
      </c>
      <c r="N206">
        <v>2014</v>
      </c>
      <c r="O206" s="43">
        <f>C132</f>
        <v>1.0676231230628614</v>
      </c>
      <c r="P206" s="43">
        <f>D132</f>
        <v>1.0606138242965941</v>
      </c>
      <c r="Q206" s="43">
        <f>E132</f>
        <v>1.0460923135336697</v>
      </c>
      <c r="R206" s="43">
        <f>F132</f>
        <v>1.0119325214204145</v>
      </c>
    </row>
    <row r="207" spans="2:18">
      <c r="B207" s="30" t="s">
        <v>9</v>
      </c>
      <c r="C207" s="8">
        <f>_xlfn.XLOOKUP(B204,Table7[Ár],Table7[7300 Fjarðabyggð])</f>
        <v>8817733</v>
      </c>
      <c r="D207" s="8">
        <f>_xlfn.XLOOKUP(B204,Table7[Ár],Table7[7400 Múlaþing])</f>
        <v>7773331</v>
      </c>
      <c r="E207" s="9">
        <f>_xlfn.XLOOKUP(B204,Table7[Ár],Table7[7502 Vopnafjarðarhreppur])</f>
        <v>1356642</v>
      </c>
      <c r="F207" s="31">
        <f>_xlfn.XLOOKUP(B204,Table7[Ár],Table7[7505 Fljótsdalshreppur])</f>
        <v>260355</v>
      </c>
      <c r="H207" s="30" t="s">
        <v>25</v>
      </c>
      <c r="I207" s="8">
        <f>_xlfn.XLOOKUP(H204,Table7[Ár],Table7[7300 Fjarðabyggð])</f>
        <v>8817733</v>
      </c>
      <c r="J207" s="8">
        <f>_xlfn.XLOOKUP(H204,Table7[Ár],Table7[7400 Múlaþing])</f>
        <v>7773331</v>
      </c>
      <c r="K207" s="9">
        <f>_xlfn.XLOOKUP(H204,Table7[Ár],Table7[7502 Vopnafjarðarhreppur])</f>
        <v>1356642</v>
      </c>
      <c r="L207" s="31">
        <f>_xlfn.XLOOKUP(H204,Table7[Ár],Table7[7505 Fljótsdalshreppur])</f>
        <v>260355</v>
      </c>
      <c r="N207">
        <v>2015</v>
      </c>
      <c r="O207" s="43">
        <f>C142</f>
        <v>1.1123440132434061</v>
      </c>
      <c r="P207" s="43">
        <f>D142</f>
        <v>1.0230506997593063</v>
      </c>
      <c r="Q207" s="43">
        <f>E142</f>
        <v>1.0519034334836395</v>
      </c>
      <c r="R207" s="43">
        <f>F142</f>
        <v>1.1776066850672036</v>
      </c>
    </row>
    <row r="208" spans="2:18">
      <c r="B208" s="30" t="s">
        <v>10</v>
      </c>
      <c r="C208" s="8">
        <f>_xlfn.XLOOKUP(B204,Table10[Ár],Table10[7300 Fjarðabyggð])</f>
        <v>602795</v>
      </c>
      <c r="D208" s="9">
        <f>_xlfn.XLOOKUP(B204,Table10[Ár],Table10[7400 Múlaþing])</f>
        <v>849213</v>
      </c>
      <c r="E208" s="9">
        <f>_xlfn.XLOOKUP(B204,Table10[Ár],Table10[7502 Vopnafjarðarhreppur])</f>
        <v>69905</v>
      </c>
      <c r="F208" s="31">
        <f>_xlfn.XLOOKUP(B204,Table10[Ár],Table10[7505 Fljótsdalshreppur])</f>
        <v>-4113</v>
      </c>
      <c r="H208" s="30" t="s">
        <v>26</v>
      </c>
      <c r="I208" s="8">
        <f>_xlfn.XLOOKUP(H204,Table10[Ár],Table10[7300 Fjarðabyggð])</f>
        <v>602795</v>
      </c>
      <c r="J208" s="9">
        <f>_xlfn.XLOOKUP(H204,Table10[Ár],Table10[7400 Múlaþing])</f>
        <v>849213</v>
      </c>
      <c r="K208" s="9">
        <f>_xlfn.XLOOKUP(H204,Table10[Ár],Table10[7502 Vopnafjarðarhreppur])</f>
        <v>69905</v>
      </c>
      <c r="L208" s="31">
        <f>_xlfn.XLOOKUP(H204,Table10[Ár],Table10[7505 Fljótsdalshreppur])</f>
        <v>-4113</v>
      </c>
      <c r="N208">
        <v>2016</v>
      </c>
      <c r="O208" s="43">
        <f>C152</f>
        <v>1.0662735806919716</v>
      </c>
      <c r="P208" s="43">
        <f>D152</f>
        <v>1.0670279674978744</v>
      </c>
      <c r="Q208" s="43">
        <f>E152</f>
        <v>1.105051861140999</v>
      </c>
      <c r="R208" s="43">
        <f>F152</f>
        <v>1.053237158526557</v>
      </c>
    </row>
    <row r="209" spans="2:18" ht="15.75" thickBot="1">
      <c r="B209" s="30" t="s">
        <v>11</v>
      </c>
      <c r="C209" s="10">
        <f>_xlfn.XLOOKUP(B204,Table11[Ár],Table11[7300 Fjarðabyggð])</f>
        <v>-5513</v>
      </c>
      <c r="D209" s="11">
        <f>_xlfn.XLOOKUP(B204,Table11[Ár],Table11[7400 Múlaþing])</f>
        <v>20335</v>
      </c>
      <c r="E209" s="11">
        <f>_xlfn.XLOOKUP(B204,Table11[Ár],Table11[7502 Vopnafjarðarhreppur])</f>
        <v>4025</v>
      </c>
      <c r="F209" s="32">
        <f>_xlfn.XLOOKUP(B204,Table11[Ár],Table11[7505 Fljótsdalshreppur])</f>
        <v>0</v>
      </c>
      <c r="H209" s="30" t="s">
        <v>27</v>
      </c>
      <c r="I209" s="10">
        <f>_xlfn.XLOOKUP(H204,Table11[Ár],Table11[7300 Fjarðabyggð])</f>
        <v>-5513</v>
      </c>
      <c r="J209" s="11">
        <f>_xlfn.XLOOKUP(H204,Table11[Ár],Table11[7400 Múlaþing])</f>
        <v>20335</v>
      </c>
      <c r="K209" s="11">
        <f>_xlfn.XLOOKUP(H204,Table11[Ár],Table11[7502 Vopnafjarðarhreppur])</f>
        <v>4025</v>
      </c>
      <c r="L209" s="32">
        <f>_xlfn.XLOOKUP(H204,Table11[Ár],Table11[7505 Fljótsdalshreppur])</f>
        <v>0</v>
      </c>
      <c r="N209">
        <v>2017</v>
      </c>
      <c r="O209" s="43">
        <f>C162</f>
        <v>1.0744747243909281</v>
      </c>
      <c r="P209" s="43">
        <f>D162</f>
        <v>1.0719754170855738</v>
      </c>
      <c r="Q209" s="43">
        <f>E162</f>
        <v>1.0989649550070173</v>
      </c>
      <c r="R209" s="43">
        <f>F162</f>
        <v>1.0327804925604123</v>
      </c>
    </row>
    <row r="210" spans="2:18">
      <c r="B210" s="33" t="s">
        <v>12</v>
      </c>
      <c r="C210" s="12">
        <f t="shared" ref="C210:F210" si="120">SUMIF(C206:C209,"&lt;0",C206:C209)</f>
        <v>-9449001</v>
      </c>
      <c r="D210" s="13">
        <f t="shared" si="120"/>
        <v>-8567008</v>
      </c>
      <c r="E210" s="13">
        <f t="shared" si="120"/>
        <v>-1432127</v>
      </c>
      <c r="F210" s="34">
        <f t="shared" si="120"/>
        <v>-256479</v>
      </c>
      <c r="H210" s="33" t="s">
        <v>28</v>
      </c>
      <c r="I210" s="12">
        <f t="shared" ref="I210:L210" si="121">SUMIF(I206:I209,"&lt;0",I206:I209)</f>
        <v>-9449001</v>
      </c>
      <c r="J210" s="13">
        <f t="shared" si="121"/>
        <v>-8567008</v>
      </c>
      <c r="K210" s="13">
        <f t="shared" si="121"/>
        <v>-1432127</v>
      </c>
      <c r="L210" s="34">
        <f t="shared" si="121"/>
        <v>-256479</v>
      </c>
      <c r="N210">
        <v>2018</v>
      </c>
      <c r="O210" s="43">
        <f>C172</f>
        <v>1.0999379606710959</v>
      </c>
      <c r="P210" s="43">
        <f>D172</f>
        <v>1.0674695894803046</v>
      </c>
      <c r="Q210" s="43">
        <f>E172</f>
        <v>0.99945868537877702</v>
      </c>
      <c r="R210" s="43">
        <f>F172</f>
        <v>1.2000513289182118</v>
      </c>
    </row>
    <row r="211" spans="2:18" ht="15.75" thickBot="1">
      <c r="B211" s="35" t="s">
        <v>13</v>
      </c>
      <c r="C211" s="14">
        <f t="shared" ref="C211:F211" si="122">SUMIF(C206:C209,"&gt;0",C206:C209)</f>
        <v>9420528</v>
      </c>
      <c r="D211" s="15">
        <f t="shared" si="122"/>
        <v>8642879</v>
      </c>
      <c r="E211" s="15">
        <f t="shared" si="122"/>
        <v>1430572</v>
      </c>
      <c r="F211" s="36">
        <f t="shared" si="122"/>
        <v>260355</v>
      </c>
      <c r="H211" s="35" t="s">
        <v>29</v>
      </c>
      <c r="I211" s="14">
        <f t="shared" ref="I211:L211" si="123">SUMIF(I206:I209,"&gt;0",I206:I209)</f>
        <v>9420528</v>
      </c>
      <c r="J211" s="15">
        <f t="shared" si="123"/>
        <v>8642879</v>
      </c>
      <c r="K211" s="15">
        <f t="shared" si="123"/>
        <v>1430572</v>
      </c>
      <c r="L211" s="36">
        <f t="shared" si="123"/>
        <v>260355</v>
      </c>
      <c r="N211">
        <v>2019</v>
      </c>
      <c r="O211" s="43">
        <f>C182</f>
        <v>1.0734428338511659</v>
      </c>
      <c r="P211" s="43">
        <f>D182</f>
        <v>1.0661478303655501</v>
      </c>
      <c r="Q211" s="43">
        <f>E182</f>
        <v>0.9101871269559606</v>
      </c>
      <c r="R211" s="43">
        <f>F182</f>
        <v>1.0032442022557344</v>
      </c>
    </row>
    <row r="212" spans="2:18" ht="16.5" thickTop="1" thickBot="1">
      <c r="B212" s="18" t="s">
        <v>14</v>
      </c>
      <c r="C212" s="16">
        <f>-C210/C211</f>
        <v>1.0030224420542033</v>
      </c>
      <c r="D212" s="16">
        <f t="shared" ref="D212:F212" si="124">-D210/D211</f>
        <v>0.99122155939010603</v>
      </c>
      <c r="E212" s="16">
        <f t="shared" si="124"/>
        <v>1.0010869777962941</v>
      </c>
      <c r="F212" s="17">
        <f t="shared" si="124"/>
        <v>0.98511263467189025</v>
      </c>
      <c r="H212" s="41" t="s">
        <v>30</v>
      </c>
      <c r="I212" s="16">
        <f>-I210/I211</f>
        <v>1.0030224420542033</v>
      </c>
      <c r="J212" s="16">
        <f t="shared" ref="J212:L212" si="125">-J210/J211</f>
        <v>0.99122155939010603</v>
      </c>
      <c r="K212" s="16">
        <f t="shared" si="125"/>
        <v>1.0010869777962941</v>
      </c>
      <c r="L212" s="17">
        <f t="shared" si="125"/>
        <v>0.98511263467189025</v>
      </c>
      <c r="N212">
        <v>2020</v>
      </c>
      <c r="O212" s="43">
        <f>C192</f>
        <v>1.0247771402743586</v>
      </c>
      <c r="P212" s="43">
        <f>D192</f>
        <v>0.98469851132053687</v>
      </c>
      <c r="Q212" s="43">
        <f>E192</f>
        <v>0.94684679744981604</v>
      </c>
      <c r="R212" s="43">
        <f>F192</f>
        <v>0.79205442259187975</v>
      </c>
    </row>
    <row r="213" spans="2:18">
      <c r="N213">
        <v>2021</v>
      </c>
      <c r="O213" s="43">
        <v>1.0261260358647719</v>
      </c>
      <c r="P213" s="43">
        <v>1.0118549038756264</v>
      </c>
      <c r="Q213" s="43">
        <v>0.97627085754355636</v>
      </c>
      <c r="R213" s="43">
        <v>0.7795669034390118</v>
      </c>
    </row>
    <row r="214" spans="2:18">
      <c r="N214">
        <v>2022</v>
      </c>
      <c r="O214" s="43">
        <v>1.0030224420542033</v>
      </c>
      <c r="P214" s="43">
        <v>0.99122155939010603</v>
      </c>
      <c r="Q214" s="43">
        <v>1.0010869777962941</v>
      </c>
      <c r="R214" s="43">
        <v>0.98511263467189025</v>
      </c>
    </row>
  </sheetData>
  <mergeCells count="48">
    <mergeCell ref="B204:F204"/>
    <mergeCell ref="H204:L204"/>
    <mergeCell ref="H2:K2"/>
    <mergeCell ref="B2:E2"/>
    <mergeCell ref="H1:L1"/>
    <mergeCell ref="B104:F104"/>
    <mergeCell ref="B114:F114"/>
    <mergeCell ref="B84:F84"/>
    <mergeCell ref="B94:F94"/>
    <mergeCell ref="B53:F53"/>
    <mergeCell ref="B33:F33"/>
    <mergeCell ref="B43:F43"/>
    <mergeCell ref="B3:F3"/>
    <mergeCell ref="H3:L3"/>
    <mergeCell ref="B13:F13"/>
    <mergeCell ref="H13:L13"/>
    <mergeCell ref="B23:F23"/>
    <mergeCell ref="H23:L23"/>
    <mergeCell ref="B64:F64"/>
    <mergeCell ref="B74:F74"/>
    <mergeCell ref="H164:L164"/>
    <mergeCell ref="H174:L174"/>
    <mergeCell ref="H184:L184"/>
    <mergeCell ref="B164:F164"/>
    <mergeCell ref="B174:F174"/>
    <mergeCell ref="B184:F184"/>
    <mergeCell ref="B144:F144"/>
    <mergeCell ref="B154:F154"/>
    <mergeCell ref="B124:F124"/>
    <mergeCell ref="B134:F134"/>
    <mergeCell ref="H124:L124"/>
    <mergeCell ref="H154:L154"/>
    <mergeCell ref="B194:F194"/>
    <mergeCell ref="H194:L194"/>
    <mergeCell ref="B1:F1"/>
    <mergeCell ref="B63:E63"/>
    <mergeCell ref="H63:K63"/>
    <mergeCell ref="H134:L134"/>
    <mergeCell ref="H144:L144"/>
    <mergeCell ref="H64:L64"/>
    <mergeCell ref="H74:L74"/>
    <mergeCell ref="H84:L84"/>
    <mergeCell ref="H94:L94"/>
    <mergeCell ref="H104:L104"/>
    <mergeCell ref="H114:L114"/>
    <mergeCell ref="H33:L33"/>
    <mergeCell ref="H43:L43"/>
    <mergeCell ref="H53:L5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3"/>
  <sheetViews>
    <sheetView zoomScaleNormal="100" workbookViewId="0">
      <selection activeCell="R5" sqref="R5"/>
    </sheetView>
  </sheetViews>
  <sheetFormatPr defaultColWidth="9.28515625" defaultRowHeight="15"/>
  <cols>
    <col min="2" max="2" width="11" customWidth="1"/>
    <col min="3" max="3" width="18.28515625" customWidth="1"/>
    <col min="4" max="4" width="16" customWidth="1"/>
    <col min="5" max="5" width="25.5703125" customWidth="1"/>
    <col min="6" max="6" width="23.140625" customWidth="1"/>
  </cols>
  <sheetData>
    <row r="1" spans="1:26" s="3" customFormat="1" ht="21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62"/>
      <c r="B2" s="62"/>
      <c r="C2" s="62"/>
      <c r="D2" s="62"/>
      <c r="E2" s="62"/>
      <c r="F2" s="62"/>
      <c r="G2" s="62"/>
      <c r="H2" s="62"/>
      <c r="I2" s="6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/>
    <row r="5" spans="1:26" ht="15" customHeight="1"/>
    <row r="32" spans="2:6">
      <c r="B32" t="s">
        <v>17</v>
      </c>
      <c r="C32" t="s">
        <v>1</v>
      </c>
      <c r="D32" t="s">
        <v>15</v>
      </c>
      <c r="E32" t="s">
        <v>31</v>
      </c>
      <c r="F32" t="s">
        <v>4</v>
      </c>
    </row>
    <row r="33" spans="2:6">
      <c r="B33">
        <v>2002</v>
      </c>
      <c r="C33" s="44">
        <v>0.96179340232267874</v>
      </c>
      <c r="D33" s="44">
        <v>0.96529215990811679</v>
      </c>
      <c r="E33" s="44">
        <v>0.87239898411867933</v>
      </c>
      <c r="F33" s="44">
        <v>0.98416899846227535</v>
      </c>
    </row>
    <row r="34" spans="2:6">
      <c r="B34">
        <v>2003</v>
      </c>
      <c r="C34" s="44">
        <v>0.83272444107761512</v>
      </c>
      <c r="D34" s="44">
        <v>0.94315621570233876</v>
      </c>
      <c r="E34" s="44">
        <v>0.83401918102242001</v>
      </c>
      <c r="F34" s="44">
        <v>1.085475719622061</v>
      </c>
    </row>
    <row r="35" spans="2:6">
      <c r="B35">
        <v>2004</v>
      </c>
      <c r="C35" s="44">
        <v>0.92436757159363581</v>
      </c>
      <c r="D35" s="44">
        <v>0.96700835145406272</v>
      </c>
      <c r="E35" s="44">
        <v>0.86599664308395752</v>
      </c>
      <c r="F35" s="44">
        <v>2.2597472991663863</v>
      </c>
    </row>
    <row r="36" spans="2:6">
      <c r="B36">
        <v>2005</v>
      </c>
      <c r="C36" s="44">
        <v>0.96538928381977818</v>
      </c>
      <c r="D36" s="44">
        <v>1.0472234630464112</v>
      </c>
      <c r="E36" s="44">
        <v>0.92004002671486895</v>
      </c>
      <c r="F36" s="44">
        <v>2.2451307348479586</v>
      </c>
    </row>
    <row r="37" spans="2:6">
      <c r="B37">
        <v>2006</v>
      </c>
      <c r="C37" s="44">
        <v>1.0818844012449342</v>
      </c>
      <c r="D37" s="44">
        <v>1.0450229911457751</v>
      </c>
      <c r="E37" s="44">
        <v>0.90471392990903676</v>
      </c>
      <c r="F37" s="44">
        <v>3.2702098579116718</v>
      </c>
    </row>
    <row r="38" spans="2:6">
      <c r="B38">
        <v>2007</v>
      </c>
      <c r="C38" s="44">
        <v>1.1387967834051667</v>
      </c>
      <c r="D38" s="44">
        <v>1.0580126889186359</v>
      </c>
      <c r="E38" s="44">
        <v>1.0315934005093566</v>
      </c>
      <c r="F38" s="44">
        <v>3.5813992084769564</v>
      </c>
    </row>
    <row r="39" spans="2:6">
      <c r="B39">
        <v>2008</v>
      </c>
      <c r="C39" s="44">
        <v>0.72776173756849583</v>
      </c>
      <c r="D39" s="44">
        <v>0.76200214237024055</v>
      </c>
      <c r="E39" s="44">
        <v>0.79910220842242496</v>
      </c>
      <c r="F39" s="44">
        <v>1.799523295869724</v>
      </c>
    </row>
    <row r="40" spans="2:6">
      <c r="B40">
        <v>2009</v>
      </c>
      <c r="C40" s="44">
        <v>0.87575752040083898</v>
      </c>
      <c r="D40" s="44">
        <v>0.86115483754878319</v>
      </c>
      <c r="E40" s="44">
        <v>0.92201263038047176</v>
      </c>
      <c r="F40" s="44">
        <v>1.9592259123736999</v>
      </c>
    </row>
    <row r="41" spans="2:6">
      <c r="B41">
        <v>2010</v>
      </c>
      <c r="C41" s="44">
        <v>1.1680930872952093</v>
      </c>
      <c r="D41" s="44">
        <v>0.9821894355857933</v>
      </c>
      <c r="E41" s="44">
        <v>1.0785003819810079</v>
      </c>
      <c r="F41" s="44">
        <v>1.1615470966425145</v>
      </c>
    </row>
    <row r="42" spans="2:6">
      <c r="B42">
        <v>2011</v>
      </c>
      <c r="C42" s="44">
        <v>1.0128600631931275</v>
      </c>
      <c r="D42" s="44">
        <v>0.95382459087742855</v>
      </c>
      <c r="E42" s="44">
        <v>1.5029893300267736</v>
      </c>
      <c r="F42" s="44">
        <v>1.0935319126179845</v>
      </c>
    </row>
    <row r="43" spans="2:6">
      <c r="B43">
        <v>2012</v>
      </c>
      <c r="C43" s="44">
        <v>1.0902382473787708</v>
      </c>
      <c r="D43" s="44">
        <v>1.0071418139952331</v>
      </c>
      <c r="E43" s="44">
        <v>1.1215964936695915</v>
      </c>
      <c r="F43" s="44">
        <v>0.95307846174104427</v>
      </c>
    </row>
    <row r="44" spans="2:6">
      <c r="B44">
        <v>2013</v>
      </c>
      <c r="C44" s="44">
        <v>1.2120660818837592</v>
      </c>
      <c r="D44" s="44">
        <v>1.0025809629906972</v>
      </c>
      <c r="E44" s="44">
        <v>1.1591125308633365</v>
      </c>
      <c r="F44" s="44">
        <v>0.87757596164038487</v>
      </c>
    </row>
    <row r="45" spans="2:6">
      <c r="B45">
        <v>2014</v>
      </c>
      <c r="C45" s="44">
        <v>1.0676231230628614</v>
      </c>
      <c r="D45" s="44">
        <v>1.0606138242965941</v>
      </c>
      <c r="E45" s="44">
        <v>1.0460923135336697</v>
      </c>
      <c r="F45" s="44">
        <v>1.0119325214204145</v>
      </c>
    </row>
    <row r="46" spans="2:6">
      <c r="B46">
        <v>2015</v>
      </c>
      <c r="C46" s="44">
        <v>1.1123440132434061</v>
      </c>
      <c r="D46" s="44">
        <v>1.0230506997593063</v>
      </c>
      <c r="E46" s="44">
        <v>1.0519034334836395</v>
      </c>
      <c r="F46" s="44">
        <v>1.1776066850672036</v>
      </c>
    </row>
    <row r="47" spans="2:6">
      <c r="B47">
        <v>2016</v>
      </c>
      <c r="C47" s="44">
        <v>1.0662735806919716</v>
      </c>
      <c r="D47" s="44">
        <v>1.0670279674978744</v>
      </c>
      <c r="E47" s="44">
        <v>1.105051861140999</v>
      </c>
      <c r="F47" s="44">
        <v>1.053237158526557</v>
      </c>
    </row>
    <row r="48" spans="2:6">
      <c r="B48">
        <v>2017</v>
      </c>
      <c r="C48" s="44">
        <v>1.0744747243909281</v>
      </c>
      <c r="D48" s="44">
        <v>1.0719754170855738</v>
      </c>
      <c r="E48" s="44">
        <v>1.0989649550070173</v>
      </c>
      <c r="F48" s="44">
        <v>1.0327804925604123</v>
      </c>
    </row>
    <row r="49" spans="2:6">
      <c r="B49">
        <v>2018</v>
      </c>
      <c r="C49" s="44">
        <v>1.0999379606710959</v>
      </c>
      <c r="D49" s="44">
        <v>1.0674695894803046</v>
      </c>
      <c r="E49" s="44">
        <v>0.99945868537877702</v>
      </c>
      <c r="F49" s="44">
        <v>1.2000513289182118</v>
      </c>
    </row>
    <row r="50" spans="2:6">
      <c r="B50">
        <v>2019</v>
      </c>
      <c r="C50" s="44">
        <v>1.0734428338511659</v>
      </c>
      <c r="D50" s="44">
        <v>1.0661478303655501</v>
      </c>
      <c r="E50" s="44">
        <v>0.9101871269559606</v>
      </c>
      <c r="F50" s="44">
        <v>1.0032442022557344</v>
      </c>
    </row>
    <row r="51" spans="2:6">
      <c r="B51">
        <v>2020</v>
      </c>
      <c r="C51" s="44">
        <v>1.0247771402743586</v>
      </c>
      <c r="D51" s="44">
        <v>0.98469851132053687</v>
      </c>
      <c r="E51" s="44">
        <v>0.94684679744981604</v>
      </c>
      <c r="F51" s="44">
        <v>0.79205442259187975</v>
      </c>
    </row>
    <row r="52" spans="2:6">
      <c r="B52">
        <v>2021</v>
      </c>
      <c r="C52" s="44">
        <v>1.0261260358647699</v>
      </c>
      <c r="D52" s="44">
        <v>1.0118549038756299</v>
      </c>
      <c r="E52" s="44">
        <v>0.97627085754355603</v>
      </c>
      <c r="F52" s="44">
        <v>0.77956690343901203</v>
      </c>
    </row>
    <row r="53" spans="2:6">
      <c r="B53" s="68">
        <v>2022</v>
      </c>
      <c r="C53" s="69">
        <v>1.0030224420542033</v>
      </c>
      <c r="D53" s="69">
        <v>0.99122155939010603</v>
      </c>
      <c r="E53" s="69">
        <v>1.0010869777962941</v>
      </c>
      <c r="F53" s="69">
        <v>0.98511263467189025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cc6de4c7-8526-40f9-9830-bae303b4b474"/>
    <ds:schemaRef ds:uri="http://purl.org/dc/elements/1.1/"/>
    <ds:schemaRef ds:uri="http://purl.org/dc/dcmitype/"/>
    <ds:schemaRef ds:uri="http://schemas.microsoft.com/office/2006/metadata/properties"/>
    <ds:schemaRef ds:uri="60700310-1e95-4a2d-902b-55f378dec2f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d5e1130-bd29-41b9-8f35-b2022c1f2110"/>
    <ds:schemaRef ds:uri="a1e505cb-d496-48fd-add2-266759c5e8d4"/>
  </ds:schemaRefs>
</ds:datastoreItem>
</file>

<file path=customXml/itemProps3.xml><?xml version="1.0" encoding="utf-8"?>
<ds:datastoreItem xmlns:ds="http://schemas.openxmlformats.org/officeDocument/2006/customXml" ds:itemID="{6944E541-1512-45B9-84F3-A3A63829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2022-10-13T14:49:33Z</cp:lastPrinted>
  <dcterms:created xsi:type="dcterms:W3CDTF">2020-02-07T14:51:12Z</dcterms:created>
  <dcterms:modified xsi:type="dcterms:W3CDTF">2023-10-17T08:56:11Z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