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tnaausturland-my.sharepoint.com/personal/arnar_austurbru_is/Documents/"/>
    </mc:Choice>
  </mc:AlternateContent>
  <xr:revisionPtr revIDLastSave="541" documentId="8_{56F7AD42-4AF6-4555-9D55-BD0BFB9A3B78}" xr6:coauthVersionLast="47" xr6:coauthVersionMax="47" xr10:uidLastSave="{14B7A39C-3199-4AD3-B66B-5428875F227E}"/>
  <bookViews>
    <workbookView xWindow="-120" yWindow="-120" windowWidth="29040" windowHeight="15720" activeTab="3" xr2:uid="{95EE343A-A00D-435C-A1B6-23F75405F674}"/>
  </bookViews>
  <sheets>
    <sheet name="Frumgögn Hagstofa" sheetId="9" r:id="rId1"/>
    <sheet name="Frumgögn LV&amp;Alcoa" sheetId="3" r:id="rId2"/>
    <sheet name="Úrvinnsla" sheetId="7" r:id="rId3"/>
    <sheet name="Birting" sheetId="8" r:id="rId4"/>
  </sheets>
  <definedNames>
    <definedName name="_xlnm.Print_Titles" localSheetId="3">Birting!$1:$1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8" i="7" l="1"/>
  <c r="Y19" i="7"/>
  <c r="Y20" i="7"/>
  <c r="Y21" i="7"/>
  <c r="Y22" i="7"/>
  <c r="Y23" i="7"/>
  <c r="Y24" i="7"/>
  <c r="Y25" i="7"/>
  <c r="Y26" i="7"/>
  <c r="Y27" i="7"/>
  <c r="Y28" i="7"/>
  <c r="Y29" i="7"/>
  <c r="Y30" i="7"/>
  <c r="Y31" i="7"/>
  <c r="Y32" i="7"/>
  <c r="X18" i="7"/>
  <c r="X19" i="7"/>
  <c r="X20" i="7"/>
  <c r="X21" i="7"/>
  <c r="X22" i="7"/>
  <c r="X23" i="7"/>
  <c r="X24" i="7"/>
  <c r="X25" i="7"/>
  <c r="X26" i="7"/>
  <c r="X27" i="7"/>
  <c r="X28" i="7"/>
  <c r="X29" i="7"/>
  <c r="X30" i="7"/>
  <c r="X31" i="7"/>
  <c r="X32" i="7"/>
  <c r="W18" i="7"/>
  <c r="W19" i="7"/>
  <c r="W20" i="7"/>
  <c r="W21" i="7"/>
  <c r="W22" i="7"/>
  <c r="W23" i="7"/>
  <c r="W24" i="7"/>
  <c r="W25" i="7"/>
  <c r="W26" i="7"/>
  <c r="W27" i="7"/>
  <c r="W28" i="7"/>
  <c r="W29" i="7"/>
  <c r="W30" i="7"/>
  <c r="W31" i="7"/>
  <c r="W32" i="7"/>
  <c r="V18" i="7"/>
  <c r="V19" i="7"/>
  <c r="V20" i="7"/>
  <c r="V21" i="7"/>
  <c r="V22" i="7"/>
  <c r="V23" i="7"/>
  <c r="V24" i="7"/>
  <c r="V25" i="7"/>
  <c r="V26" i="7"/>
  <c r="V27" i="7"/>
  <c r="V28" i="7"/>
  <c r="V29" i="7"/>
  <c r="V30" i="7"/>
  <c r="V31" i="7"/>
  <c r="V32" i="7"/>
  <c r="U18" i="7"/>
  <c r="U19" i="7"/>
  <c r="U20" i="7"/>
  <c r="U21" i="7"/>
  <c r="U22" i="7"/>
  <c r="U23" i="7"/>
  <c r="U24" i="7"/>
  <c r="U25" i="7"/>
  <c r="U26" i="7"/>
  <c r="U27" i="7"/>
  <c r="U28" i="7"/>
  <c r="U29" i="7"/>
  <c r="U30" i="7"/>
  <c r="U31" i="7"/>
  <c r="U32" i="7"/>
  <c r="T18" i="7"/>
  <c r="T19" i="7"/>
  <c r="T20" i="7"/>
  <c r="T21" i="7"/>
  <c r="T22" i="7"/>
  <c r="T23" i="7"/>
  <c r="T24" i="7"/>
  <c r="T25" i="7"/>
  <c r="T26" i="7"/>
  <c r="T27" i="7"/>
  <c r="T28" i="7"/>
  <c r="T29" i="7"/>
  <c r="T30" i="7"/>
  <c r="T31" i="7"/>
  <c r="T32" i="7"/>
  <c r="Q18" i="7"/>
  <c r="Q19" i="7"/>
  <c r="Q20" i="7"/>
  <c r="Q21" i="7"/>
  <c r="Q22" i="7"/>
  <c r="Q23" i="7"/>
  <c r="Q24" i="7"/>
  <c r="Q25" i="7"/>
  <c r="Q26" i="7"/>
  <c r="Q27" i="7"/>
  <c r="Q28" i="7"/>
  <c r="Q29" i="7"/>
  <c r="Q30" i="7"/>
  <c r="Q31" i="7"/>
  <c r="Q32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Q143" i="3"/>
  <c r="P143" i="3"/>
  <c r="S32" i="7" l="1"/>
  <c r="S31" i="7"/>
  <c r="S30" i="7"/>
  <c r="S29" i="7"/>
  <c r="S28" i="7"/>
  <c r="S27" i="7"/>
  <c r="S26" i="7"/>
  <c r="S25" i="7"/>
  <c r="S24" i="7"/>
  <c r="S23" i="7"/>
  <c r="S22" i="7"/>
  <c r="S21" i="7"/>
  <c r="S20" i="7"/>
  <c r="S19" i="7"/>
  <c r="S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18" i="7"/>
  <c r="D23" i="7"/>
  <c r="D24" i="7"/>
  <c r="D25" i="7"/>
  <c r="D26" i="7"/>
  <c r="D27" i="7"/>
  <c r="D29" i="7"/>
  <c r="D30" i="7"/>
  <c r="D31" i="7"/>
  <c r="D32" i="7"/>
  <c r="C32" i="7"/>
  <c r="C31" i="7"/>
  <c r="C30" i="7"/>
  <c r="C29" i="7"/>
  <c r="C27" i="7"/>
  <c r="C26" i="7"/>
  <c r="C25" i="7"/>
  <c r="C24" i="7"/>
  <c r="C23" i="7"/>
  <c r="D19" i="7"/>
  <c r="D20" i="7"/>
  <c r="D21" i="7"/>
  <c r="C21" i="7"/>
  <c r="C20" i="7"/>
  <c r="C19" i="7"/>
  <c r="F18" i="7"/>
  <c r="E18" i="7"/>
  <c r="D18" i="7"/>
  <c r="C18" i="7"/>
  <c r="T11" i="7"/>
  <c r="M6" i="7"/>
  <c r="H6" i="7"/>
  <c r="Y6" i="7" s="1"/>
  <c r="H7" i="7"/>
  <c r="Q7" i="7" s="1"/>
  <c r="H8" i="7"/>
  <c r="Q8" i="7" s="1"/>
  <c r="H9" i="7"/>
  <c r="Y9" i="7" s="1"/>
  <c r="H10" i="7"/>
  <c r="Y10" i="7" s="1"/>
  <c r="H11" i="7"/>
  <c r="Q11" i="7" s="1"/>
  <c r="H12" i="7"/>
  <c r="Y12" i="7" s="1"/>
  <c r="H13" i="7"/>
  <c r="Q13" i="7" s="1"/>
  <c r="H5" i="7"/>
  <c r="Q5" i="7" s="1"/>
  <c r="G6" i="7"/>
  <c r="X6" i="7" s="1"/>
  <c r="G7" i="7"/>
  <c r="P7" i="7" s="1"/>
  <c r="G8" i="7"/>
  <c r="P8" i="7" s="1"/>
  <c r="G9" i="7"/>
  <c r="X9" i="7" s="1"/>
  <c r="G10" i="7"/>
  <c r="X10" i="7" s="1"/>
  <c r="G11" i="7"/>
  <c r="P11" i="7" s="1"/>
  <c r="G12" i="7"/>
  <c r="X12" i="7" s="1"/>
  <c r="G13" i="7"/>
  <c r="P13" i="7" s="1"/>
  <c r="G5" i="7"/>
  <c r="P5" i="7" s="1"/>
  <c r="C6" i="7"/>
  <c r="T6" i="7" s="1"/>
  <c r="D6" i="7"/>
  <c r="U6" i="7" s="1"/>
  <c r="C7" i="7"/>
  <c r="T7" i="7" s="1"/>
  <c r="D7" i="7"/>
  <c r="U7" i="7" s="1"/>
  <c r="C8" i="7"/>
  <c r="L8" i="7" s="1"/>
  <c r="D8" i="7"/>
  <c r="U8" i="7" s="1"/>
  <c r="C9" i="7"/>
  <c r="L9" i="7" s="1"/>
  <c r="D9" i="7"/>
  <c r="U9" i="7" s="1"/>
  <c r="C10" i="7"/>
  <c r="L10" i="7" s="1"/>
  <c r="D10" i="7"/>
  <c r="M10" i="7" s="1"/>
  <c r="C11" i="7"/>
  <c r="L11" i="7" s="1"/>
  <c r="D11" i="7"/>
  <c r="M11" i="7" s="1"/>
  <c r="C12" i="7"/>
  <c r="T12" i="7" s="1"/>
  <c r="D12" i="7"/>
  <c r="M12" i="7" s="1"/>
  <c r="C13" i="7"/>
  <c r="L13" i="7" s="1"/>
  <c r="D13" i="7"/>
  <c r="U13" i="7" s="1"/>
  <c r="D5" i="7"/>
  <c r="M5" i="7" s="1"/>
  <c r="C5" i="7"/>
  <c r="T5" i="7" s="1"/>
  <c r="M143" i="3"/>
  <c r="L143" i="3"/>
  <c r="N142" i="3"/>
  <c r="Q142" i="3" s="1"/>
  <c r="N141" i="3"/>
  <c r="Q141" i="3" s="1"/>
  <c r="N140" i="3"/>
  <c r="N139" i="3"/>
  <c r="Q139" i="3" s="1"/>
  <c r="N138" i="3"/>
  <c r="P138" i="3" s="1"/>
  <c r="N137" i="3"/>
  <c r="P137" i="3" s="1"/>
  <c r="N136" i="3"/>
  <c r="Q136" i="3" s="1"/>
  <c r="N135" i="3"/>
  <c r="P135" i="3" s="1"/>
  <c r="M66" i="3"/>
  <c r="L66" i="3"/>
  <c r="N65" i="3"/>
  <c r="Q65" i="3" s="1"/>
  <c r="N64" i="3"/>
  <c r="Q64" i="3" s="1"/>
  <c r="N63" i="3"/>
  <c r="P63" i="3" s="1"/>
  <c r="N62" i="3"/>
  <c r="P62" i="3" s="1"/>
  <c r="N61" i="3"/>
  <c r="Q61" i="3" s="1"/>
  <c r="N60" i="3"/>
  <c r="P60" i="3" s="1"/>
  <c r="N59" i="3"/>
  <c r="P59" i="3" s="1"/>
  <c r="N58" i="3"/>
  <c r="Q58" i="3" s="1"/>
  <c r="N57" i="3"/>
  <c r="Q57" i="3" s="1"/>
  <c r="C179" i="3"/>
  <c r="B179" i="3"/>
  <c r="D178" i="3"/>
  <c r="F178" i="3" s="1"/>
  <c r="D177" i="3"/>
  <c r="G177" i="3" s="1"/>
  <c r="D176" i="3"/>
  <c r="G176" i="3" s="1"/>
  <c r="D175" i="3"/>
  <c r="F175" i="3" s="1"/>
  <c r="D174" i="3"/>
  <c r="F174" i="3" s="1"/>
  <c r="C170" i="3"/>
  <c r="B170" i="3"/>
  <c r="D169" i="3"/>
  <c r="G169" i="3" s="1"/>
  <c r="D168" i="3"/>
  <c r="F168" i="3" s="1"/>
  <c r="D167" i="3"/>
  <c r="F167" i="3" s="1"/>
  <c r="D166" i="3"/>
  <c r="F166" i="3" s="1"/>
  <c r="D165" i="3"/>
  <c r="G165" i="3" s="1"/>
  <c r="C161" i="3"/>
  <c r="B161" i="3"/>
  <c r="D160" i="3"/>
  <c r="D159" i="3"/>
  <c r="D158" i="3"/>
  <c r="F158" i="3" s="1"/>
  <c r="D157" i="3"/>
  <c r="G157" i="3" s="1"/>
  <c r="D156" i="3"/>
  <c r="C150" i="3"/>
  <c r="B150" i="3"/>
  <c r="D149" i="3"/>
  <c r="G149" i="3" s="1"/>
  <c r="D148" i="3"/>
  <c r="D147" i="3"/>
  <c r="G147" i="3" s="1"/>
  <c r="D146" i="3"/>
  <c r="F146" i="3" s="1"/>
  <c r="D145" i="3"/>
  <c r="G145" i="3" s="1"/>
  <c r="C139" i="3"/>
  <c r="B139" i="3"/>
  <c r="D138" i="3"/>
  <c r="G138" i="3" s="1"/>
  <c r="D137" i="3"/>
  <c r="G137" i="3" s="1"/>
  <c r="D136" i="3"/>
  <c r="G136" i="3" s="1"/>
  <c r="D135" i="3"/>
  <c r="G135" i="3" s="1"/>
  <c r="D134" i="3"/>
  <c r="G134" i="3" s="1"/>
  <c r="C128" i="3"/>
  <c r="B128" i="3"/>
  <c r="D127" i="3"/>
  <c r="G127" i="3" s="1"/>
  <c r="D126" i="3"/>
  <c r="F126" i="3" s="1"/>
  <c r="D125" i="3"/>
  <c r="G125" i="3" s="1"/>
  <c r="D124" i="3"/>
  <c r="F124" i="3" s="1"/>
  <c r="D123" i="3"/>
  <c r="G123" i="3" s="1"/>
  <c r="D122" i="3"/>
  <c r="G122" i="3" s="1"/>
  <c r="C118" i="3"/>
  <c r="B118" i="3"/>
  <c r="D117" i="3"/>
  <c r="G117" i="3" s="1"/>
  <c r="D116" i="3"/>
  <c r="D115" i="3"/>
  <c r="G115" i="3" s="1"/>
  <c r="D114" i="3"/>
  <c r="G114" i="3" s="1"/>
  <c r="D113" i="3"/>
  <c r="F113" i="3" s="1"/>
  <c r="D112" i="3"/>
  <c r="F112" i="3" s="1"/>
  <c r="D111" i="3"/>
  <c r="F111" i="3" s="1"/>
  <c r="D110" i="3"/>
  <c r="G110" i="3" s="1"/>
  <c r="D109" i="3"/>
  <c r="F109" i="3" s="1"/>
  <c r="C105" i="3"/>
  <c r="B105" i="3"/>
  <c r="D104" i="3"/>
  <c r="D103" i="3"/>
  <c r="G103" i="3" s="1"/>
  <c r="D102" i="3"/>
  <c r="G102" i="3" s="1"/>
  <c r="D101" i="3"/>
  <c r="G101" i="3" s="1"/>
  <c r="D100" i="3"/>
  <c r="D99" i="3"/>
  <c r="G99" i="3" s="1"/>
  <c r="D98" i="3"/>
  <c r="F98" i="3" s="1"/>
  <c r="D97" i="3"/>
  <c r="G97" i="3" s="1"/>
  <c r="D96" i="3"/>
  <c r="C92" i="3"/>
  <c r="B92" i="3"/>
  <c r="D91" i="3"/>
  <c r="F91" i="3" s="1"/>
  <c r="D90" i="3"/>
  <c r="G90" i="3" s="1"/>
  <c r="D89" i="3"/>
  <c r="G89" i="3" s="1"/>
  <c r="D88" i="3"/>
  <c r="G88" i="3" s="1"/>
  <c r="D87" i="3"/>
  <c r="G87" i="3" s="1"/>
  <c r="D86" i="3"/>
  <c r="F86" i="3" s="1"/>
  <c r="D85" i="3"/>
  <c r="G85" i="3" s="1"/>
  <c r="D84" i="3"/>
  <c r="G84" i="3" s="1"/>
  <c r="D83" i="3"/>
  <c r="G83" i="3" s="1"/>
  <c r="C79" i="3"/>
  <c r="B79" i="3"/>
  <c r="D78" i="3"/>
  <c r="G78" i="3" s="1"/>
  <c r="D77" i="3"/>
  <c r="F77" i="3" s="1"/>
  <c r="D76" i="3"/>
  <c r="G76" i="3" s="1"/>
  <c r="D75" i="3"/>
  <c r="G75" i="3" s="1"/>
  <c r="D74" i="3"/>
  <c r="D73" i="3"/>
  <c r="F73" i="3" s="1"/>
  <c r="D72" i="3"/>
  <c r="G72" i="3" s="1"/>
  <c r="D71" i="3"/>
  <c r="G71" i="3" s="1"/>
  <c r="D70" i="3"/>
  <c r="C66" i="3"/>
  <c r="B66" i="3"/>
  <c r="D65" i="3"/>
  <c r="F65" i="3" s="1"/>
  <c r="D64" i="3"/>
  <c r="D63" i="3"/>
  <c r="G63" i="3" s="1"/>
  <c r="D62" i="3"/>
  <c r="G62" i="3" s="1"/>
  <c r="D61" i="3"/>
  <c r="D60" i="3"/>
  <c r="G60" i="3" s="1"/>
  <c r="D59" i="3"/>
  <c r="G59" i="3" s="1"/>
  <c r="D58" i="3"/>
  <c r="G58" i="3" s="1"/>
  <c r="D57" i="3"/>
  <c r="F57" i="3" s="1"/>
  <c r="C53" i="3"/>
  <c r="B53" i="3"/>
  <c r="D52" i="3"/>
  <c r="G52" i="3" s="1"/>
  <c r="D51" i="3"/>
  <c r="G51" i="3" s="1"/>
  <c r="D50" i="3"/>
  <c r="D49" i="3"/>
  <c r="G49" i="3" s="1"/>
  <c r="D48" i="3"/>
  <c r="G48" i="3" s="1"/>
  <c r="D47" i="3"/>
  <c r="F47" i="3" s="1"/>
  <c r="D46" i="3"/>
  <c r="D45" i="3"/>
  <c r="G45" i="3" s="1"/>
  <c r="D44" i="3"/>
  <c r="G44" i="3" s="1"/>
  <c r="C40" i="3"/>
  <c r="B40" i="3"/>
  <c r="D39" i="3"/>
  <c r="G39" i="3" s="1"/>
  <c r="D38" i="3"/>
  <c r="G38" i="3" s="1"/>
  <c r="D37" i="3"/>
  <c r="G37" i="3" s="1"/>
  <c r="D36" i="3"/>
  <c r="F36" i="3" s="1"/>
  <c r="D35" i="3"/>
  <c r="F35" i="3" s="1"/>
  <c r="D34" i="3"/>
  <c r="G34" i="3" s="1"/>
  <c r="D33" i="3"/>
  <c r="G33" i="3" s="1"/>
  <c r="D32" i="3"/>
  <c r="F32" i="3" s="1"/>
  <c r="D31" i="3"/>
  <c r="G31" i="3" s="1"/>
  <c r="D19" i="3"/>
  <c r="G19" i="3" s="1"/>
  <c r="D20" i="3"/>
  <c r="G20" i="3" s="1"/>
  <c r="D21" i="3"/>
  <c r="G21" i="3" s="1"/>
  <c r="D22" i="3"/>
  <c r="G22" i="3" s="1"/>
  <c r="D23" i="3"/>
  <c r="G23" i="3" s="1"/>
  <c r="D24" i="3"/>
  <c r="G24" i="3" s="1"/>
  <c r="D25" i="3"/>
  <c r="F25" i="3" s="1"/>
  <c r="D26" i="3"/>
  <c r="F26" i="3" s="1"/>
  <c r="D18" i="3"/>
  <c r="F18" i="3" s="1"/>
  <c r="C27" i="3"/>
  <c r="B27" i="3"/>
  <c r="Y5" i="7" l="1"/>
  <c r="Q9" i="7"/>
  <c r="P6" i="7"/>
  <c r="T13" i="7"/>
  <c r="L5" i="7"/>
  <c r="U11" i="7"/>
  <c r="L7" i="7"/>
  <c r="L6" i="7"/>
  <c r="U10" i="7"/>
  <c r="M13" i="7"/>
  <c r="T10" i="7"/>
  <c r="M9" i="7"/>
  <c r="L12" i="7"/>
  <c r="M8" i="7"/>
  <c r="M7" i="7"/>
  <c r="U5" i="7"/>
  <c r="T9" i="7"/>
  <c r="T8" i="7"/>
  <c r="U12" i="7"/>
  <c r="Y11" i="7"/>
  <c r="Q10" i="7"/>
  <c r="P10" i="7"/>
  <c r="X11" i="7"/>
  <c r="X8" i="7"/>
  <c r="Q6" i="7"/>
  <c r="Y8" i="7"/>
  <c r="X5" i="7"/>
  <c r="Y7" i="7"/>
  <c r="X7" i="7"/>
  <c r="P9" i="7"/>
  <c r="Y13" i="7"/>
  <c r="X13" i="7"/>
  <c r="Q12" i="7"/>
  <c r="P12" i="7"/>
  <c r="Q135" i="3"/>
  <c r="Q137" i="3"/>
  <c r="P139" i="3"/>
  <c r="P141" i="3"/>
  <c r="Q138" i="3"/>
  <c r="P142" i="3"/>
  <c r="P136" i="3"/>
  <c r="P140" i="3"/>
  <c r="N143" i="3"/>
  <c r="Q140" i="3"/>
  <c r="Q59" i="3"/>
  <c r="Q63" i="3"/>
  <c r="P64" i="3"/>
  <c r="Q60" i="3"/>
  <c r="P57" i="3"/>
  <c r="P61" i="3"/>
  <c r="P65" i="3"/>
  <c r="N66" i="3"/>
  <c r="P58" i="3"/>
  <c r="Q62" i="3"/>
  <c r="D170" i="3"/>
  <c r="E166" i="3" s="1"/>
  <c r="F176" i="3"/>
  <c r="G175" i="3"/>
  <c r="G174" i="3"/>
  <c r="G178" i="3"/>
  <c r="F177" i="3"/>
  <c r="D179" i="3"/>
  <c r="G166" i="3"/>
  <c r="G167" i="3"/>
  <c r="F169" i="3"/>
  <c r="G168" i="3"/>
  <c r="F165" i="3"/>
  <c r="F157" i="3"/>
  <c r="G158" i="3"/>
  <c r="F160" i="3"/>
  <c r="G156" i="3"/>
  <c r="G160" i="3"/>
  <c r="F156" i="3"/>
  <c r="G159" i="3"/>
  <c r="D161" i="3"/>
  <c r="E157" i="3" s="1"/>
  <c r="F159" i="3"/>
  <c r="G146" i="3"/>
  <c r="F147" i="3"/>
  <c r="F148" i="3"/>
  <c r="G148" i="3"/>
  <c r="F145" i="3"/>
  <c r="F149" i="3"/>
  <c r="D150" i="3"/>
  <c r="F150" i="3" s="1"/>
  <c r="E29" i="7" s="1"/>
  <c r="G98" i="3"/>
  <c r="F137" i="3"/>
  <c r="F134" i="3"/>
  <c r="F136" i="3"/>
  <c r="F138" i="3"/>
  <c r="D139" i="3"/>
  <c r="F135" i="3"/>
  <c r="G126" i="3"/>
  <c r="F122" i="3"/>
  <c r="F125" i="3"/>
  <c r="F127" i="3"/>
  <c r="G124" i="3"/>
  <c r="F123" i="3"/>
  <c r="D128" i="3"/>
  <c r="E126" i="3" s="1"/>
  <c r="G109" i="3"/>
  <c r="G111" i="3"/>
  <c r="F115" i="3"/>
  <c r="G113" i="3"/>
  <c r="G112" i="3"/>
  <c r="F116" i="3"/>
  <c r="G116" i="3"/>
  <c r="F117" i="3"/>
  <c r="D118" i="3"/>
  <c r="E115" i="3" s="1"/>
  <c r="F110" i="3"/>
  <c r="F114" i="3"/>
  <c r="F102" i="3"/>
  <c r="F103" i="3"/>
  <c r="F100" i="3"/>
  <c r="F104" i="3"/>
  <c r="F96" i="3"/>
  <c r="G96" i="3"/>
  <c r="G100" i="3"/>
  <c r="G104" i="3"/>
  <c r="F97" i="3"/>
  <c r="F101" i="3"/>
  <c r="D105" i="3"/>
  <c r="E96" i="3" s="1"/>
  <c r="F99" i="3"/>
  <c r="F85" i="3"/>
  <c r="F89" i="3"/>
  <c r="F90" i="3"/>
  <c r="G86" i="3"/>
  <c r="F83" i="3"/>
  <c r="F87" i="3"/>
  <c r="G91" i="3"/>
  <c r="F84" i="3"/>
  <c r="F88" i="3"/>
  <c r="D92" i="3"/>
  <c r="G92" i="3" s="1"/>
  <c r="F24" i="7" s="1"/>
  <c r="F76" i="3"/>
  <c r="F72" i="3"/>
  <c r="G73" i="3"/>
  <c r="F74" i="3"/>
  <c r="F78" i="3"/>
  <c r="G70" i="3"/>
  <c r="G74" i="3"/>
  <c r="F70" i="3"/>
  <c r="F71" i="3"/>
  <c r="F75" i="3"/>
  <c r="D79" i="3"/>
  <c r="E75" i="3" s="1"/>
  <c r="G77" i="3"/>
  <c r="F59" i="3"/>
  <c r="F63" i="3"/>
  <c r="G64" i="3"/>
  <c r="G57" i="3"/>
  <c r="G61" i="3"/>
  <c r="G65" i="3"/>
  <c r="F64" i="3"/>
  <c r="F61" i="3"/>
  <c r="F60" i="3"/>
  <c r="F62" i="3"/>
  <c r="F58" i="3"/>
  <c r="D66" i="3"/>
  <c r="E61" i="3" s="1"/>
  <c r="G46" i="3"/>
  <c r="F46" i="3"/>
  <c r="F50" i="3"/>
  <c r="G50" i="3"/>
  <c r="F51" i="3"/>
  <c r="G47" i="3"/>
  <c r="F44" i="3"/>
  <c r="F48" i="3"/>
  <c r="F52" i="3"/>
  <c r="F49" i="3"/>
  <c r="F45" i="3"/>
  <c r="D53" i="3"/>
  <c r="E50" i="3" s="1"/>
  <c r="D40" i="3"/>
  <c r="E31" i="3" s="1"/>
  <c r="G32" i="3"/>
  <c r="G36" i="3"/>
  <c r="F37" i="3"/>
  <c r="F38" i="3"/>
  <c r="G35" i="3"/>
  <c r="F33" i="3"/>
  <c r="F34" i="3"/>
  <c r="F31" i="3"/>
  <c r="F39" i="3"/>
  <c r="D27" i="3"/>
  <c r="F23" i="3"/>
  <c r="F24" i="3"/>
  <c r="F19" i="3"/>
  <c r="F22" i="3"/>
  <c r="F21" i="3"/>
  <c r="F20" i="3"/>
  <c r="G18" i="3"/>
  <c r="G26" i="3"/>
  <c r="G25" i="3"/>
  <c r="O139" i="3" l="1"/>
  <c r="S135" i="3"/>
  <c r="R142" i="3"/>
  <c r="S136" i="3"/>
  <c r="R143" i="3"/>
  <c r="C28" i="7" s="1"/>
  <c r="S137" i="3"/>
  <c r="S138" i="3"/>
  <c r="S139" i="3"/>
  <c r="S140" i="3"/>
  <c r="S141" i="3"/>
  <c r="S142" i="3"/>
  <c r="S143" i="3"/>
  <c r="D28" i="7" s="1"/>
  <c r="R135" i="3"/>
  <c r="R136" i="3"/>
  <c r="R137" i="3"/>
  <c r="R138" i="3"/>
  <c r="R139" i="3"/>
  <c r="R140" i="3"/>
  <c r="R141" i="3"/>
  <c r="O63" i="3"/>
  <c r="S61" i="3"/>
  <c r="S62" i="3"/>
  <c r="S63" i="3"/>
  <c r="S64" i="3"/>
  <c r="S65" i="3"/>
  <c r="S66" i="3"/>
  <c r="D22" i="7" s="1"/>
  <c r="R57" i="3"/>
  <c r="R58" i="3"/>
  <c r="R59" i="3"/>
  <c r="R60" i="3"/>
  <c r="R61" i="3"/>
  <c r="R62" i="3"/>
  <c r="S57" i="3"/>
  <c r="R63" i="3"/>
  <c r="S58" i="3"/>
  <c r="R64" i="3"/>
  <c r="S59" i="3"/>
  <c r="R65" i="3"/>
  <c r="S60" i="3"/>
  <c r="R66" i="3"/>
  <c r="C22" i="7" s="1"/>
  <c r="E176" i="3"/>
  <c r="F13" i="7"/>
  <c r="F11" i="7"/>
  <c r="F9" i="7"/>
  <c r="F6" i="7"/>
  <c r="F5" i="7"/>
  <c r="E13" i="7"/>
  <c r="E11" i="7"/>
  <c r="E9" i="7"/>
  <c r="E6" i="7"/>
  <c r="E5" i="7"/>
  <c r="O142" i="3"/>
  <c r="O138" i="3"/>
  <c r="O137" i="3"/>
  <c r="O141" i="3"/>
  <c r="O140" i="3"/>
  <c r="O135" i="3"/>
  <c r="O143" i="3" s="1"/>
  <c r="O136" i="3"/>
  <c r="O64" i="3"/>
  <c r="O60" i="3"/>
  <c r="O65" i="3"/>
  <c r="O61" i="3"/>
  <c r="O57" i="3"/>
  <c r="P66" i="3"/>
  <c r="O62" i="3"/>
  <c r="Q66" i="3"/>
  <c r="O58" i="3"/>
  <c r="O59" i="3"/>
  <c r="F170" i="3"/>
  <c r="E31" i="7" s="1"/>
  <c r="G170" i="3"/>
  <c r="F31" i="7" s="1"/>
  <c r="E167" i="3"/>
  <c r="E168" i="3"/>
  <c r="E165" i="3"/>
  <c r="E170" i="3" s="1"/>
  <c r="E169" i="3"/>
  <c r="E20" i="3"/>
  <c r="E175" i="3"/>
  <c r="E174" i="3"/>
  <c r="E177" i="3"/>
  <c r="F179" i="3"/>
  <c r="E32" i="7" s="1"/>
  <c r="G179" i="3"/>
  <c r="F32" i="7" s="1"/>
  <c r="E178" i="3"/>
  <c r="G161" i="3"/>
  <c r="F30" i="7" s="1"/>
  <c r="E160" i="3"/>
  <c r="E159" i="3"/>
  <c r="E158" i="3"/>
  <c r="F161" i="3"/>
  <c r="E30" i="7" s="1"/>
  <c r="E156" i="3"/>
  <c r="E146" i="3"/>
  <c r="E149" i="3"/>
  <c r="E145" i="3"/>
  <c r="E148" i="3"/>
  <c r="G150" i="3"/>
  <c r="F29" i="7" s="1"/>
  <c r="E147" i="3"/>
  <c r="E137" i="3"/>
  <c r="G139" i="3"/>
  <c r="F28" i="7" s="1"/>
  <c r="F139" i="3"/>
  <c r="E28" i="7" s="1"/>
  <c r="E135" i="3"/>
  <c r="E52" i="3"/>
  <c r="E138" i="3"/>
  <c r="E51" i="3"/>
  <c r="E136" i="3"/>
  <c r="E49" i="3"/>
  <c r="G40" i="3"/>
  <c r="F20" i="7" s="1"/>
  <c r="F40" i="3"/>
  <c r="E20" i="7" s="1"/>
  <c r="E33" i="3"/>
  <c r="E37" i="3"/>
  <c r="E38" i="3"/>
  <c r="E39" i="3"/>
  <c r="E36" i="3"/>
  <c r="E134" i="3"/>
  <c r="E34" i="3"/>
  <c r="E32" i="3"/>
  <c r="E35" i="3"/>
  <c r="G27" i="3"/>
  <c r="F19" i="7" s="1"/>
  <c r="G53" i="3"/>
  <c r="F21" i="7" s="1"/>
  <c r="E48" i="3"/>
  <c r="E47" i="3"/>
  <c r="E46" i="3"/>
  <c r="E45" i="3"/>
  <c r="E44" i="3"/>
  <c r="F27" i="3"/>
  <c r="E19" i="7" s="1"/>
  <c r="E123" i="3"/>
  <c r="G128" i="3"/>
  <c r="F27" i="7" s="1"/>
  <c r="E127" i="3"/>
  <c r="F128" i="3"/>
  <c r="E27" i="7" s="1"/>
  <c r="E125" i="3"/>
  <c r="E122" i="3"/>
  <c r="E124" i="3"/>
  <c r="E113" i="3"/>
  <c r="E110" i="3"/>
  <c r="E114" i="3"/>
  <c r="E109" i="3"/>
  <c r="F118" i="3"/>
  <c r="E26" i="7" s="1"/>
  <c r="E111" i="3"/>
  <c r="E117" i="3"/>
  <c r="E112" i="3"/>
  <c r="G118" i="3"/>
  <c r="F26" i="7" s="1"/>
  <c r="E116" i="3"/>
  <c r="E99" i="3"/>
  <c r="E104" i="3"/>
  <c r="E103" i="3"/>
  <c r="F105" i="3"/>
  <c r="E25" i="7" s="1"/>
  <c r="G105" i="3"/>
  <c r="F25" i="7" s="1"/>
  <c r="E98" i="3"/>
  <c r="E102" i="3"/>
  <c r="E100" i="3"/>
  <c r="E101" i="3"/>
  <c r="E97" i="3"/>
  <c r="E88" i="3"/>
  <c r="E90" i="3"/>
  <c r="E83" i="3"/>
  <c r="F92" i="3"/>
  <c r="E24" i="7" s="1"/>
  <c r="E86" i="3"/>
  <c r="E91" i="3"/>
  <c r="E89" i="3"/>
  <c r="E84" i="3"/>
  <c r="E85" i="3"/>
  <c r="E87" i="3"/>
  <c r="E73" i="3"/>
  <c r="E78" i="3"/>
  <c r="E77" i="3"/>
  <c r="F79" i="3"/>
  <c r="E23" i="7" s="1"/>
  <c r="E76" i="3"/>
  <c r="E70" i="3"/>
  <c r="G79" i="3"/>
  <c r="F23" i="7" s="1"/>
  <c r="E72" i="3"/>
  <c r="E71" i="3"/>
  <c r="E74" i="3"/>
  <c r="E62" i="3"/>
  <c r="E57" i="3"/>
  <c r="E65" i="3"/>
  <c r="E60" i="3"/>
  <c r="F66" i="3"/>
  <c r="E22" i="7" s="1"/>
  <c r="G66" i="3"/>
  <c r="F22" i="7" s="1"/>
  <c r="E58" i="3"/>
  <c r="E64" i="3"/>
  <c r="E63" i="3"/>
  <c r="E59" i="3"/>
  <c r="F53" i="3"/>
  <c r="E21" i="7" s="1"/>
  <c r="E25" i="3"/>
  <c r="E26" i="3"/>
  <c r="E21" i="3"/>
  <c r="E23" i="3"/>
  <c r="E18" i="3"/>
  <c r="E24" i="3"/>
  <c r="E22" i="3"/>
  <c r="E19" i="3"/>
  <c r="V11" i="7" l="1"/>
  <c r="N11" i="7"/>
  <c r="V13" i="7"/>
  <c r="N13" i="7"/>
  <c r="O5" i="7"/>
  <c r="W5" i="7"/>
  <c r="W6" i="7"/>
  <c r="O6" i="7"/>
  <c r="W9" i="7"/>
  <c r="O9" i="7"/>
  <c r="W11" i="7"/>
  <c r="O11" i="7"/>
  <c r="O13" i="7"/>
  <c r="W13" i="7"/>
  <c r="N5" i="7"/>
  <c r="V5" i="7"/>
  <c r="V6" i="7"/>
  <c r="N6" i="7"/>
  <c r="V9" i="7"/>
  <c r="N9" i="7"/>
  <c r="O66" i="3"/>
  <c r="E161" i="3"/>
  <c r="E179" i="3"/>
  <c r="E150" i="3"/>
  <c r="E139" i="3"/>
  <c r="E53" i="3"/>
  <c r="E79" i="3"/>
  <c r="E66" i="3"/>
  <c r="E40" i="3"/>
  <c r="E105" i="3"/>
  <c r="E128" i="3"/>
  <c r="E92" i="3"/>
  <c r="E27" i="3"/>
  <c r="E118" i="3"/>
</calcChain>
</file>

<file path=xl/sharedStrings.xml><?xml version="1.0" encoding="utf-8"?>
<sst xmlns="http://schemas.openxmlformats.org/spreadsheetml/2006/main" count="804" uniqueCount="120">
  <si>
    <t>4.1.4 - Kynjahlutfall</t>
  </si>
  <si>
    <t>Frumgögn fyrir vísi</t>
  </si>
  <si>
    <t>Slóð á töflu á Hagstofa.is</t>
  </si>
  <si>
    <t>Slóð á CSV</t>
  </si>
  <si>
    <t>Ekki mögulegt að uppfæra leitina þar sem engin tímabreyta er skilgreind í þessari töflu.</t>
  </si>
  <si>
    <t>Póstur sendur á Hagstofu Íslands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</si>
  <si>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</si>
  <si>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</si>
  <si>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</si>
  <si>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</si>
  <si>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</si>
  <si>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</si>
  <si>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</si>
  <si>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</si>
  <si>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</si>
  <si>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</si>
  <si>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</si>
  <si>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</si>
  <si>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</si>
  <si>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</si>
  <si>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</si>
  <si>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</si>
  <si>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</si>
  <si>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</si>
  <si>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Karlar og konur</t>
  </si>
  <si>
    <t>Alls</t>
  </si>
  <si>
    <t>Stjórnendur og embættismenn</t>
  </si>
  <si>
    <t>Sérfræðingar</t>
  </si>
  <si>
    <t>Sérmenntað starfsfólk</t>
  </si>
  <si>
    <t>Skrifstofufólk</t>
  </si>
  <si>
    <t>Þjónustu- og verslunarfólk</t>
  </si>
  <si>
    <t>Bændur og fiskimenn</t>
  </si>
  <si>
    <t>Iðnaðarmenn</t>
  </si>
  <si>
    <t>Véla- og vélgæslufólk</t>
  </si>
  <si>
    <t>Ósérhæft starfsfólk</t>
  </si>
  <si>
    <t>Karlar</t>
  </si>
  <si>
    <t>Konur</t>
  </si>
  <si>
    <t>Fastir starfsmenn Landsvirkjunar 2008</t>
  </si>
  <si>
    <t>KK</t>
  </si>
  <si>
    <t>KVK</t>
  </si>
  <si>
    <t>Verkfræðingar</t>
  </si>
  <si>
    <t xml:space="preserve">Stjórnendur og embættismenn </t>
  </si>
  <si>
    <t>Tæknar og sérmenntað starfsfólk</t>
  </si>
  <si>
    <t>Þjónustu- og verslunarmenn</t>
  </si>
  <si>
    <t>Véla og vélgæslufólk</t>
  </si>
  <si>
    <t xml:space="preserve">ósérhæft starfsfólk </t>
  </si>
  <si>
    <t>% í starfsstétt</t>
  </si>
  <si>
    <t>Column1</t>
  </si>
  <si>
    <t>% konur</t>
  </si>
  <si>
    <t>% karlar</t>
  </si>
  <si>
    <t>Fastir starfsmenn Landsvirkjunar 2009</t>
  </si>
  <si>
    <t>Fastir starfsmenn Landsvirkjunar 2010</t>
  </si>
  <si>
    <t>Fastir starfsmenn Landsvirkjunar 2011</t>
  </si>
  <si>
    <t>Fastir starfsmenn Landsvirkjunar 2012</t>
  </si>
  <si>
    <t>Fastir starfsmenn Landsvirkjunar 2013</t>
  </si>
  <si>
    <t>Fastir starfsmenn Landsvirkjunar 2014</t>
  </si>
  <si>
    <t>Fastir starfsmenn Landsvirkjunar 2015</t>
  </si>
  <si>
    <t>þessi starfaflokkur á ekki við hjá LV</t>
  </si>
  <si>
    <t>Fastir starfsmenn Landsvirkjunar 2016</t>
  </si>
  <si>
    <t>ATH.  Breyting frá fyrra ári er að verkfræðingar eru settir í hóp sérfræðingar</t>
  </si>
  <si>
    <t>Fastir starfsmenn Landsvirkjunar 2017</t>
  </si>
  <si>
    <t>ATH.  Breyting frá fyrra ári er að tæknar og sérmenntað fólk eru settir í hóp sérfræðingar</t>
  </si>
  <si>
    <t>Fastir starfsmenn Landsvirkjunar 2018</t>
  </si>
  <si>
    <t>ATH. Það hefur orðið smá breyting á kódunum hjá okkur í starfaflokkuninni, gerðist í kjölfar jafnlaunavottunar</t>
  </si>
  <si>
    <t>Almenn störf</t>
  </si>
  <si>
    <t>Fastir starfsmenn Landsvirkjunar 2019</t>
  </si>
  <si>
    <t>Fastir starfsmenn Landsvirkjunar 2020</t>
  </si>
  <si>
    <t>Fastir starfsmenn Landsvirkjunar 2021</t>
  </si>
  <si>
    <t>Fastir starfsmenn Alcoa 2008</t>
  </si>
  <si>
    <t>Fastir starfsmenn Alcoa 2009</t>
  </si>
  <si>
    <t>Fastir starfsmenn Alcoa 2010</t>
  </si>
  <si>
    <t xml:space="preserve"> -</t>
  </si>
  <si>
    <t>-</t>
  </si>
  <si>
    <t>Fastir starfsmenn Landsvirkjunar 2007</t>
  </si>
  <si>
    <t>Fastir starfsmennAlcoa 2011</t>
  </si>
  <si>
    <t>Fastir starfsmenn Alcoa 2012</t>
  </si>
  <si>
    <t>Fastir starfsmenn Alcoa 2013</t>
  </si>
  <si>
    <t>Fastir starfsmenn Alcoa 2014</t>
  </si>
  <si>
    <t>Fastir starfsmenn Alcoa 2015</t>
  </si>
  <si>
    <t>Fastir starfsmenn Alcoa 2016</t>
  </si>
  <si>
    <t>Fastir starfsmenn Alcoa 2017</t>
  </si>
  <si>
    <t>Fastir starfsmenn Alcoa 2018</t>
  </si>
  <si>
    <t>Fastir starfsmenn Alcoa 2019</t>
  </si>
  <si>
    <t>Fastir starfsmenn Alcoa 2020</t>
  </si>
  <si>
    <t>Fastir starfsmenn Alcoa 2021</t>
  </si>
  <si>
    <t>4.1.4 Kynjahlutföll</t>
  </si>
  <si>
    <t>Mynd 1</t>
  </si>
  <si>
    <t>Konur af heild</t>
  </si>
  <si>
    <t>Karlar af heild</t>
  </si>
  <si>
    <t>Fjarðaál - KVK</t>
  </si>
  <si>
    <t>Landsvirkjun - KVK</t>
  </si>
  <si>
    <t>Fjarðaál - KK</t>
  </si>
  <si>
    <t>Landsvirkjun - KK</t>
  </si>
  <si>
    <t>Ísland - KVK</t>
  </si>
  <si>
    <t>Ísland - KK</t>
  </si>
  <si>
    <t>null</t>
  </si>
  <si>
    <t>Highcharts</t>
  </si>
  <si>
    <t>%</t>
  </si>
  <si>
    <t>Útreikningur</t>
  </si>
  <si>
    <t>Mynd 2</t>
  </si>
  <si>
    <t>Fastir starfsmenn Alcoa 2007</t>
  </si>
  <si>
    <t>Fjarðaál</t>
  </si>
  <si>
    <t>%  í starfstétt</t>
  </si>
  <si>
    <t>þar af konur</t>
  </si>
  <si>
    <t>þar af karlar</t>
  </si>
  <si>
    <t>Stjórnendur</t>
  </si>
  <si>
    <t>Niðurstöður vantar fyrir Alcoa Fjarðaál á árinu 2008</t>
  </si>
  <si>
    <t>Tæknar og sérm. starfsfólk</t>
  </si>
  <si>
    <t xml:space="preserve">Ósérhæft starfsfólk </t>
  </si>
  <si>
    <t>Heildarkynjaskipting</t>
  </si>
  <si>
    <t>Landsvirkjun</t>
  </si>
  <si>
    <t>Landið allt</t>
  </si>
  <si>
    <t>% í starfstétt</t>
  </si>
  <si>
    <t>þar af konur%</t>
  </si>
  <si>
    <t>þar af karlar%</t>
  </si>
  <si>
    <t>%í starfstétt</t>
  </si>
  <si>
    <t>4.1.4 Kynjahlutfall</t>
  </si>
  <si>
    <t>https://px.hagstofa.is:443/pxis/sq/64961b9f-28ba-4320-9bd8-7907baf15504</t>
  </si>
  <si>
    <t>https://px.hagstofa.is:443/pxis/sq/3761bd8a-6eb9-481f-ba3e-72fe9a1d69da</t>
  </si>
  <si>
    <t>Uppfærslu valmöguleikar: Fast upphafstímabil, með hækkandi fjölda uppfærðra tímabila Snið: Semíkommuskipt án töfluheits (CSV)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</si>
</sst>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1"/>
      <color rgb="FF555555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4" tint="0.39997558519241921"/>
      <name val="Calibri"/>
      <family val="2"/>
      <scheme val="minor"/>
    </font>
    <font>
      <sz val="11"/>
      <color theme="4" tint="0.39997558519241921"/>
      <name val="Calibri"/>
      <family val="2"/>
    </font>
    <font>
      <sz val="11"/>
      <color theme="4" tint="0.3999145481734672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2456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7" fillId="0" borderId="0" applyNumberFormat="0" applyFill="0" applyBorder="0" applyAlignment="0" applyProtection="0"/>
    <xf numFmtId="0" fontId="9" fillId="0" borderId="0" applyNumberFormat="0" applyBorder="0" applyAlignment="0"/>
    <xf numFmtId="9" fontId="17" fillId="0" borderId="0" applyFont="0" applyFill="0" applyBorder="0" applyAlignment="0" applyProtection="0"/>
  </cellStyleXfs>
  <cellXfs count="139">
    <xf numFmtId="0" fontId="0" fillId="0" borderId="0" xfId="0"/>
    <xf numFmtId="0" fontId="0" fillId="0" borderId="0" xfId="0" applyFill="1"/>
    <xf numFmtId="0" fontId="3" fillId="0" borderId="0" xfId="0" applyFont="1" applyFill="1" applyAlignment="1">
      <alignment vertical="center" wrapText="1"/>
    </xf>
    <xf numFmtId="0" fontId="1" fillId="0" borderId="0" xfId="0" applyFont="1" applyFill="1"/>
    <xf numFmtId="0" fontId="0" fillId="2" borderId="0" xfId="0" applyFill="1"/>
    <xf numFmtId="0" fontId="3" fillId="0" borderId="0" xfId="0" applyFont="1" applyAlignment="1">
      <alignment vertical="center" wrapText="1"/>
    </xf>
    <xf numFmtId="0" fontId="2" fillId="2" borderId="0" xfId="0" applyFont="1" applyFill="1" applyAlignment="1"/>
    <xf numFmtId="0" fontId="3" fillId="0" borderId="0" xfId="0" applyFont="1" applyAlignment="1">
      <alignment horizontal="left" vertical="center" wrapText="1"/>
    </xf>
    <xf numFmtId="0" fontId="1" fillId="0" borderId="0" xfId="0" applyFont="1"/>
    <xf numFmtId="0" fontId="7" fillId="0" borderId="0" xfId="2" applyFill="1" applyAlignment="1"/>
    <xf numFmtId="0" fontId="1" fillId="0" borderId="0" xfId="0" applyFont="1" applyFill="1" applyBorder="1"/>
    <xf numFmtId="0" fontId="9" fillId="0" borderId="0" xfId="3" applyFill="1" applyProtection="1"/>
    <xf numFmtId="0" fontId="10" fillId="0" borderId="0" xfId="3" applyFont="1" applyFill="1" applyProtection="1"/>
    <xf numFmtId="1" fontId="9" fillId="0" borderId="0" xfId="3" applyNumberFormat="1" applyFill="1" applyProtection="1"/>
    <xf numFmtId="0" fontId="11" fillId="0" borderId="0" xfId="2" applyFont="1" applyFill="1" applyAlignment="1"/>
    <xf numFmtId="0" fontId="11" fillId="0" borderId="0" xfId="0" applyFont="1" applyFill="1"/>
    <xf numFmtId="0" fontId="12" fillId="0" borderId="0" xfId="3" applyFont="1" applyFill="1" applyProtection="1"/>
    <xf numFmtId="1" fontId="12" fillId="0" borderId="0" xfId="3" applyNumberFormat="1" applyFont="1" applyFill="1" applyProtection="1"/>
    <xf numFmtId="1" fontId="13" fillId="0" borderId="0" xfId="3" applyNumberFormat="1" applyFont="1" applyFill="1" applyProtection="1"/>
    <xf numFmtId="49" fontId="0" fillId="0" borderId="0" xfId="0" applyNumberFormat="1" applyAlignment="1">
      <alignment wrapText="1"/>
    </xf>
    <xf numFmtId="10" fontId="0" fillId="0" borderId="0" xfId="0" applyNumberFormat="1" applyFill="1"/>
    <xf numFmtId="0" fontId="6" fillId="0" borderId="0" xfId="2" applyFont="1" applyFill="1" applyAlignment="1"/>
    <xf numFmtId="10" fontId="12" fillId="0" borderId="0" xfId="3" applyNumberFormat="1" applyFont="1" applyFill="1" applyProtection="1"/>
    <xf numFmtId="10" fontId="9" fillId="0" borderId="0" xfId="3" applyNumberFormat="1" applyFill="1" applyProtection="1"/>
    <xf numFmtId="0" fontId="1" fillId="0" borderId="0" xfId="0" applyNumberFormat="1" applyFont="1"/>
    <xf numFmtId="0" fontId="5" fillId="0" borderId="0" xfId="0" applyFont="1"/>
    <xf numFmtId="0" fontId="14" fillId="0" borderId="0" xfId="0" applyFont="1"/>
    <xf numFmtId="0" fontId="15" fillId="0" borderId="0" xfId="0" applyFont="1" applyAlignment="1">
      <alignment wrapText="1"/>
    </xf>
    <xf numFmtId="10" fontId="0" fillId="0" borderId="0" xfId="0" applyNumberFormat="1"/>
    <xf numFmtId="0" fontId="0" fillId="0" borderId="0" xfId="0" applyNumberFormat="1" applyFill="1"/>
    <xf numFmtId="0" fontId="0" fillId="3" borderId="0" xfId="0" applyFill="1"/>
    <xf numFmtId="0" fontId="8" fillId="0" borderId="0" xfId="2" applyFont="1" applyFill="1" applyAlignment="1">
      <alignment horizontal="left"/>
    </xf>
    <xf numFmtId="0" fontId="15" fillId="0" borderId="0" xfId="0" applyFont="1" applyAlignment="1">
      <alignment horizontal="left" wrapText="1"/>
    </xf>
    <xf numFmtId="0" fontId="2" fillId="2" borderId="0" xfId="0" applyFont="1" applyFill="1" applyAlignment="1">
      <alignment horizontal="left"/>
    </xf>
    <xf numFmtId="0" fontId="3" fillId="0" borderId="0" xfId="0" applyFont="1" applyAlignment="1">
      <alignment horizontal="left" vertical="center" wrapText="1"/>
    </xf>
    <xf numFmtId="164" fontId="0" fillId="0" borderId="0" xfId="0" applyNumberFormat="1" applyFill="1"/>
    <xf numFmtId="0" fontId="0" fillId="4" borderId="1" xfId="0" applyFill="1" applyBorder="1" applyAlignment="1">
      <alignment horizontal="center"/>
    </xf>
    <xf numFmtId="0" fontId="18" fillId="4" borderId="2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0" fontId="19" fillId="4" borderId="2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4" borderId="2" xfId="0" applyFill="1" applyBorder="1" applyAlignment="1">
      <alignment vertical="center" wrapText="1"/>
    </xf>
    <xf numFmtId="164" fontId="0" fillId="5" borderId="2" xfId="0" applyNumberFormat="1" applyFill="1" applyBorder="1" applyAlignment="1">
      <alignment horizontal="center" vertical="center"/>
    </xf>
    <xf numFmtId="164" fontId="0" fillId="4" borderId="4" xfId="0" applyNumberFormat="1" applyFill="1" applyBorder="1" applyAlignment="1">
      <alignment horizontal="center" vertical="center" wrapText="1"/>
    </xf>
    <xf numFmtId="164" fontId="0" fillId="4" borderId="5" xfId="0" applyNumberFormat="1" applyFill="1" applyBorder="1" applyAlignment="1">
      <alignment horizontal="center" vertical="center" wrapText="1"/>
    </xf>
    <xf numFmtId="164" fontId="0" fillId="4" borderId="6" xfId="0" applyNumberFormat="1" applyFill="1" applyBorder="1" applyAlignment="1">
      <alignment horizontal="center" vertical="center" wrapText="1"/>
    </xf>
    <xf numFmtId="164" fontId="0" fillId="4" borderId="2" xfId="0" applyNumberFormat="1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20" fillId="5" borderId="2" xfId="0" applyNumberFormat="1" applyFont="1" applyFill="1" applyBorder="1" applyAlignment="1">
      <alignment horizontal="right" vertical="center"/>
    </xf>
    <xf numFmtId="0" fontId="0" fillId="4" borderId="2" xfId="0" applyFill="1" applyBorder="1"/>
    <xf numFmtId="164" fontId="0" fillId="5" borderId="2" xfId="0" applyNumberFormat="1" applyFill="1" applyBorder="1" applyAlignment="1">
      <alignment horizontal="center"/>
    </xf>
    <xf numFmtId="164" fontId="0" fillId="4" borderId="7" xfId="0" applyNumberFormat="1" applyFill="1" applyBorder="1" applyAlignment="1">
      <alignment horizontal="center" vertical="center" wrapText="1"/>
    </xf>
    <xf numFmtId="164" fontId="0" fillId="4" borderId="0" xfId="0" applyNumberFormat="1" applyFill="1" applyAlignment="1">
      <alignment horizontal="center" vertical="center" wrapText="1"/>
    </xf>
    <xf numFmtId="164" fontId="0" fillId="4" borderId="8" xfId="0" applyNumberFormat="1" applyFill="1" applyBorder="1" applyAlignment="1">
      <alignment horizontal="center" vertical="center" wrapText="1"/>
    </xf>
    <xf numFmtId="164" fontId="0" fillId="4" borderId="2" xfId="0" applyNumberFormat="1" applyFill="1" applyBorder="1" applyAlignment="1">
      <alignment horizontal="center"/>
    </xf>
    <xf numFmtId="0" fontId="21" fillId="4" borderId="2" xfId="0" applyFont="1" applyFill="1" applyBorder="1"/>
    <xf numFmtId="164" fontId="21" fillId="5" borderId="2" xfId="0" applyNumberFormat="1" applyFont="1" applyFill="1" applyBorder="1" applyAlignment="1">
      <alignment horizontal="center"/>
    </xf>
    <xf numFmtId="164" fontId="21" fillId="4" borderId="2" xfId="0" applyNumberFormat="1" applyFont="1" applyFill="1" applyBorder="1" applyAlignment="1">
      <alignment horizontal="center"/>
    </xf>
    <xf numFmtId="164" fontId="21" fillId="0" borderId="2" xfId="0" applyNumberFormat="1" applyFont="1" applyBorder="1" applyAlignment="1">
      <alignment horizontal="center" vertical="center"/>
    </xf>
    <xf numFmtId="164" fontId="21" fillId="5" borderId="2" xfId="0" applyNumberFormat="1" applyFont="1" applyFill="1" applyBorder="1" applyAlignment="1">
      <alignment horizontal="right" vertical="center"/>
    </xf>
    <xf numFmtId="0" fontId="1" fillId="4" borderId="2" xfId="0" applyFont="1" applyFill="1" applyBorder="1"/>
    <xf numFmtId="164" fontId="1" fillId="5" borderId="2" xfId="0" applyNumberFormat="1" applyFont="1" applyFill="1" applyBorder="1" applyAlignment="1">
      <alignment horizontal="center"/>
    </xf>
    <xf numFmtId="164" fontId="0" fillId="4" borderId="2" xfId="0" applyNumberForma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/>
    </xf>
    <xf numFmtId="164" fontId="1" fillId="4" borderId="2" xfId="0" applyNumberFormat="1" applyFont="1" applyFill="1" applyBorder="1" applyAlignment="1">
      <alignment horizontal="center"/>
    </xf>
    <xf numFmtId="164" fontId="0" fillId="5" borderId="2" xfId="0" applyNumberFormat="1" applyFill="1" applyBorder="1"/>
    <xf numFmtId="164" fontId="1" fillId="5" borderId="2" xfId="0" applyNumberFormat="1" applyFont="1" applyFill="1" applyBorder="1"/>
    <xf numFmtId="0" fontId="0" fillId="4" borderId="0" xfId="0" applyFill="1"/>
    <xf numFmtId="164" fontId="0" fillId="4" borderId="0" xfId="0" applyNumberFormat="1" applyFill="1"/>
    <xf numFmtId="10" fontId="0" fillId="4" borderId="0" xfId="0" applyNumberFormat="1" applyFill="1"/>
    <xf numFmtId="0" fontId="18" fillId="0" borderId="2" xfId="0" applyFont="1" applyBorder="1" applyAlignment="1">
      <alignment horizontal="center" vertical="center"/>
    </xf>
    <xf numFmtId="0" fontId="0" fillId="4" borderId="2" xfId="0" applyFill="1" applyBorder="1" applyAlignment="1">
      <alignment vertical="center"/>
    </xf>
    <xf numFmtId="164" fontId="0" fillId="5" borderId="2" xfId="4" applyNumberFormat="1" applyFont="1" applyFill="1" applyBorder="1" applyAlignment="1">
      <alignment horizontal="center" vertical="center"/>
    </xf>
    <xf numFmtId="164" fontId="12" fillId="5" borderId="2" xfId="4" applyNumberFormat="1" applyFont="1" applyFill="1" applyBorder="1" applyAlignment="1">
      <alignment horizontal="center" vertical="center"/>
    </xf>
    <xf numFmtId="164" fontId="11" fillId="5" borderId="2" xfId="4" applyNumberFormat="1" applyFont="1" applyFill="1" applyBorder="1" applyAlignment="1">
      <alignment horizontal="center" vertical="center"/>
    </xf>
    <xf numFmtId="164" fontId="21" fillId="5" borderId="2" xfId="0" applyNumberFormat="1" applyFont="1" applyFill="1" applyBorder="1" applyAlignment="1">
      <alignment horizontal="center" vertical="center"/>
    </xf>
    <xf numFmtId="164" fontId="21" fillId="4" borderId="2" xfId="0" applyNumberFormat="1" applyFont="1" applyFill="1" applyBorder="1" applyAlignment="1">
      <alignment horizontal="center" vertical="center"/>
    </xf>
    <xf numFmtId="164" fontId="21" fillId="5" borderId="2" xfId="4" applyNumberFormat="1" applyFont="1" applyFill="1" applyBorder="1" applyAlignment="1">
      <alignment horizontal="center" vertical="center"/>
    </xf>
    <xf numFmtId="164" fontId="22" fillId="5" borderId="2" xfId="4" applyNumberFormat="1" applyFont="1" applyFill="1" applyBorder="1" applyAlignment="1">
      <alignment horizontal="center" vertical="center"/>
    </xf>
    <xf numFmtId="164" fontId="1" fillId="5" borderId="2" xfId="0" applyNumberFormat="1" applyFont="1" applyFill="1" applyBorder="1" applyAlignment="1">
      <alignment horizontal="center" vertical="center"/>
    </xf>
    <xf numFmtId="164" fontId="1" fillId="4" borderId="2" xfId="0" applyNumberFormat="1" applyFont="1" applyFill="1" applyBorder="1" applyAlignment="1">
      <alignment horizontal="center" vertical="center"/>
    </xf>
    <xf numFmtId="164" fontId="8" fillId="5" borderId="2" xfId="4" applyNumberFormat="1" applyFont="1" applyFill="1" applyBorder="1" applyAlignment="1">
      <alignment horizontal="center" vertical="center"/>
    </xf>
    <xf numFmtId="164" fontId="0" fillId="0" borderId="2" xfId="4" applyNumberFormat="1" applyFont="1" applyBorder="1" applyAlignment="1">
      <alignment horizontal="center"/>
    </xf>
    <xf numFmtId="164" fontId="21" fillId="0" borderId="2" xfId="4" applyNumberFormat="1" applyFont="1" applyBorder="1" applyAlignment="1">
      <alignment horizontal="center"/>
    </xf>
    <xf numFmtId="10" fontId="1" fillId="5" borderId="2" xfId="0" applyNumberFormat="1" applyFont="1" applyFill="1" applyBorder="1" applyAlignment="1">
      <alignment horizontal="center" vertical="center"/>
    </xf>
    <xf numFmtId="0" fontId="18" fillId="4" borderId="4" xfId="0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/>
    </xf>
    <xf numFmtId="0" fontId="18" fillId="4" borderId="6" xfId="0" applyFont="1" applyFill="1" applyBorder="1" applyAlignment="1">
      <alignment horizontal="center" vertical="center"/>
    </xf>
    <xf numFmtId="0" fontId="18" fillId="4" borderId="9" xfId="0" applyFont="1" applyFill="1" applyBorder="1" applyAlignment="1">
      <alignment horizontal="center" vertical="center"/>
    </xf>
    <xf numFmtId="0" fontId="18" fillId="4" borderId="10" xfId="0" applyFont="1" applyFill="1" applyBorder="1" applyAlignment="1">
      <alignment horizontal="center" vertical="center"/>
    </xf>
    <xf numFmtId="0" fontId="18" fillId="4" borderId="11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164" fontId="20" fillId="0" borderId="2" xfId="0" applyNumberFormat="1" applyFont="1" applyBorder="1" applyAlignment="1">
      <alignment vertical="center"/>
    </xf>
    <xf numFmtId="164" fontId="20" fillId="0" borderId="2" xfId="0" applyNumberFormat="1" applyFont="1" applyBorder="1" applyAlignment="1">
      <alignment horizontal="right" vertical="center"/>
    </xf>
    <xf numFmtId="164" fontId="20" fillId="6" borderId="2" xfId="4" applyNumberFormat="1" applyFont="1" applyFill="1" applyBorder="1" applyAlignment="1">
      <alignment vertical="center"/>
    </xf>
    <xf numFmtId="164" fontId="20" fillId="6" borderId="2" xfId="4" applyNumberFormat="1" applyFont="1" applyFill="1" applyBorder="1" applyAlignment="1">
      <alignment horizontal="right" vertical="center"/>
    </xf>
    <xf numFmtId="164" fontId="0" fillId="0" borderId="2" xfId="4" applyNumberFormat="1" applyFont="1" applyBorder="1"/>
    <xf numFmtId="164" fontId="21" fillId="0" borderId="2" xfId="0" applyNumberFormat="1" applyFont="1" applyBorder="1" applyAlignment="1">
      <alignment vertical="center"/>
    </xf>
    <xf numFmtId="164" fontId="21" fillId="0" borderId="2" xfId="0" applyNumberFormat="1" applyFont="1" applyBorder="1" applyAlignment="1">
      <alignment horizontal="right" vertical="center"/>
    </xf>
    <xf numFmtId="164" fontId="11" fillId="3" borderId="2" xfId="0" applyNumberFormat="1" applyFont="1" applyFill="1" applyBorder="1" applyAlignment="1">
      <alignment horizontal="center"/>
    </xf>
    <xf numFmtId="164" fontId="11" fillId="3" borderId="2" xfId="0" applyNumberFormat="1" applyFont="1" applyFill="1" applyBorder="1" applyAlignment="1">
      <alignment horizontal="right" vertical="center"/>
    </xf>
    <xf numFmtId="164" fontId="11" fillId="3" borderId="2" xfId="0" applyNumberFormat="1" applyFont="1" applyFill="1" applyBorder="1" applyAlignment="1">
      <alignment vertical="center"/>
    </xf>
    <xf numFmtId="164" fontId="11" fillId="3" borderId="2" xfId="4" applyNumberFormat="1" applyFont="1" applyFill="1" applyBorder="1" applyAlignment="1">
      <alignment horizontal="right" vertical="center"/>
    </xf>
    <xf numFmtId="164" fontId="11" fillId="3" borderId="2" xfId="4" applyNumberFormat="1" applyFont="1" applyFill="1" applyBorder="1"/>
    <xf numFmtId="0" fontId="0" fillId="5" borderId="3" xfId="0" applyFill="1" applyBorder="1"/>
    <xf numFmtId="164" fontId="1" fillId="5" borderId="3" xfId="0" applyNumberFormat="1" applyFont="1" applyFill="1" applyBorder="1"/>
    <xf numFmtId="164" fontId="1" fillId="5" borderId="9" xfId="0" applyNumberFormat="1" applyFont="1" applyFill="1" applyBorder="1"/>
    <xf numFmtId="0" fontId="0" fillId="0" borderId="2" xfId="0" applyBorder="1"/>
    <xf numFmtId="164" fontId="8" fillId="0" borderId="2" xfId="0" applyNumberFormat="1" applyFont="1" applyBorder="1" applyAlignment="1">
      <alignment horizontal="right" vertical="center"/>
    </xf>
    <xf numFmtId="164" fontId="0" fillId="6" borderId="2" xfId="4" applyNumberFormat="1" applyFont="1" applyFill="1" applyBorder="1"/>
    <xf numFmtId="0" fontId="0" fillId="0" borderId="2" xfId="0" applyBorder="1" applyAlignment="1">
      <alignment horizontal="center" wrapText="1"/>
    </xf>
    <xf numFmtId="0" fontId="0" fillId="6" borderId="2" xfId="0" applyFill="1" applyBorder="1" applyAlignment="1">
      <alignment horizontal="center" wrapText="1"/>
    </xf>
    <xf numFmtId="164" fontId="0" fillId="5" borderId="2" xfId="4" applyNumberFormat="1" applyFont="1" applyFill="1" applyBorder="1" applyAlignment="1">
      <alignment horizontal="center"/>
    </xf>
    <xf numFmtId="164" fontId="0" fillId="6" borderId="2" xfId="4" applyNumberFormat="1" applyFont="1" applyFill="1" applyBorder="1" applyAlignment="1">
      <alignment horizontal="center"/>
    </xf>
    <xf numFmtId="164" fontId="23" fillId="3" borderId="2" xfId="4" applyNumberFormat="1" applyFont="1" applyFill="1" applyBorder="1" applyAlignment="1">
      <alignment horizontal="center"/>
    </xf>
    <xf numFmtId="164" fontId="21" fillId="3" borderId="2" xfId="4" applyNumberFormat="1" applyFont="1" applyFill="1" applyBorder="1" applyAlignment="1">
      <alignment horizontal="center"/>
    </xf>
    <xf numFmtId="0" fontId="0" fillId="3" borderId="2" xfId="0" applyFill="1" applyBorder="1"/>
    <xf numFmtId="164" fontId="0" fillId="3" borderId="2" xfId="4" applyNumberFormat="1" applyFont="1" applyFill="1" applyBorder="1"/>
    <xf numFmtId="164" fontId="0" fillId="3" borderId="2" xfId="4" applyNumberFormat="1" applyFont="1" applyFill="1" applyBorder="1" applyAlignment="1">
      <alignment horizontal="center"/>
    </xf>
    <xf numFmtId="164" fontId="0" fillId="3" borderId="2" xfId="0" applyNumberFormat="1" applyFill="1" applyBorder="1" applyAlignment="1">
      <alignment horizontal="center"/>
    </xf>
    <xf numFmtId="164" fontId="0" fillId="5" borderId="0" xfId="4" applyNumberFormat="1" applyFont="1" applyFill="1" applyAlignment="1">
      <alignment horizontal="center"/>
    </xf>
    <xf numFmtId="0" fontId="0" fillId="5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1" fillId="0" borderId="2" xfId="4" applyNumberFormat="1" applyFont="1" applyBorder="1" applyAlignment="1">
      <alignment horizontal="center"/>
    </xf>
    <xf numFmtId="164" fontId="1" fillId="6" borderId="2" xfId="0" applyNumberFormat="1" applyFont="1" applyFill="1" applyBorder="1" applyAlignment="1">
      <alignment horizontal="center"/>
    </xf>
    <xf numFmtId="164" fontId="1" fillId="6" borderId="2" xfId="4" applyNumberFormat="1" applyFont="1" applyFill="1" applyBorder="1" applyAlignment="1">
      <alignment horizontal="center"/>
    </xf>
    <xf numFmtId="164" fontId="21" fillId="0" borderId="2" xfId="4" applyNumberFormat="1" applyFont="1" applyBorder="1"/>
    <xf numFmtId="164" fontId="21" fillId="6" borderId="2" xfId="4" applyNumberFormat="1" applyFont="1" applyFill="1" applyBorder="1"/>
    <xf numFmtId="164" fontId="1" fillId="0" borderId="2" xfId="4" applyNumberFormat="1" applyFont="1" applyBorder="1"/>
    <xf numFmtId="164" fontId="1" fillId="6" borderId="2" xfId="4" applyNumberFormat="1" applyFont="1" applyFill="1" applyBorder="1"/>
    <xf numFmtId="164" fontId="18" fillId="0" borderId="2" xfId="4" applyNumberFormat="1" applyFont="1" applyBorder="1"/>
    <xf numFmtId="164" fontId="0" fillId="3" borderId="2" xfId="0" applyNumberFormat="1" applyFill="1" applyBorder="1" applyAlignment="1">
      <alignment horizontal="center" vertical="center"/>
    </xf>
    <xf numFmtId="164" fontId="1" fillId="0" borderId="2" xfId="0" applyNumberFormat="1" applyFont="1" applyBorder="1"/>
    <xf numFmtId="164" fontId="21" fillId="3" borderId="2" xfId="0" applyNumberFormat="1" applyFont="1" applyFill="1" applyBorder="1" applyAlignment="1">
      <alignment horizontal="center"/>
    </xf>
    <xf numFmtId="0" fontId="0" fillId="0" borderId="0" xfId="0" applyNumberFormat="1"/>
    <xf numFmtId="0" fontId="2" fillId="0" borderId="0" xfId="0" applyFont="1" applyFill="1" applyAlignment="1"/>
  </cellXfs>
  <cellStyles count="5">
    <cellStyle name="Hyperlink" xfId="2" builtinId="8"/>
    <cellStyle name="Normal" xfId="0" builtinId="0"/>
    <cellStyle name="Normal 2" xfId="3" xr:uid="{54ED608A-F02A-42E9-BDA3-A8407748AB7A}"/>
    <cellStyle name="Normal 3" xfId="1" xr:uid="{377293A3-1ACB-408D-99D2-04C482BB9145}"/>
    <cellStyle name="Percent" xfId="4" builtinId="5"/>
  </cellStyles>
  <dxfs count="266">
    <dxf>
      <numFmt numFmtId="14" formatCode="0.00%"/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4" formatCode="0.00%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colors>
    <mruColors>
      <color rgb="FF245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C7D3A71-A12B-4204-ADD6-C4B9E7A4D777}" name="Table3" displayName="Table3" ref="A17:G27" totalsRowShown="0" headerRowDxfId="265" dataDxfId="264">
  <autoFilter ref="A17:G27" xr:uid="{8C7D3A71-A12B-4204-ADD6-C4B9E7A4D77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45164D11-6948-4094-AEB1-9384C77E6639}" name="Fastir starfsmenn Landsvirkjunar 2008"/>
    <tableColumn id="2" xr3:uid="{40DA4B37-F8C0-4F16-9B23-4A2ACE57BABF}" name="KK" dataDxfId="263" dataCellStyle="Normal 2"/>
    <tableColumn id="3" xr3:uid="{777B2148-216C-46FB-9616-CDCEA9F2F10C}" name="KVK" dataDxfId="262" dataCellStyle="Normal 2"/>
    <tableColumn id="4" xr3:uid="{55385092-FD32-4345-80C1-897B758D1F23}" name="Alls" dataDxfId="261" dataCellStyle="Hyperlink">
      <calculatedColumnFormula>SUM(B18:C18)</calculatedColumnFormula>
    </tableColumn>
    <tableColumn id="5" xr3:uid="{7BDE4627-BAA5-494A-B4D0-6293AAB0068B}" name="% í starfsstétt" dataDxfId="260"/>
    <tableColumn id="6" xr3:uid="{2FA583B6-4D0A-4CC9-A9C1-379066AC7CC1}" name="% konur" dataDxfId="259"/>
    <tableColumn id="7" xr3:uid="{6C4AAF9C-0CD8-4741-8CB0-DF09C5AD8404}" name="% karlar" dataDxfId="258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C261CE39-40BA-4689-9911-9D689872A44C}" name="Table35678910111213" displayName="Table35678910111213" ref="A133:G139" totalsRowShown="0" headerRowDxfId="193" dataDxfId="192">
  <autoFilter ref="A133:G139" xr:uid="{C261CE39-40BA-4689-9911-9D689872A44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B1F1FE48-FCD9-4CC9-854A-D2035A22B38F}" name="Fastir starfsmenn Landsvirkjunar 2017"/>
    <tableColumn id="2" xr3:uid="{2053B358-1069-48E5-B1FC-87E8732A7A69}" name="KK" dataDxfId="191" dataCellStyle="Normal 2"/>
    <tableColumn id="3" xr3:uid="{1F5CCCCA-29A8-43D0-B4EB-51CE9A83F202}" name="KVK" dataDxfId="190" dataCellStyle="Normal 2"/>
    <tableColumn id="4" xr3:uid="{7BE15BC2-B716-4C9A-BE89-7A43D3D727B4}" name="Alls" dataDxfId="189" dataCellStyle="Hyperlink">
      <calculatedColumnFormula>SUM(B134:C134)</calculatedColumnFormula>
    </tableColumn>
    <tableColumn id="5" xr3:uid="{C7E50E4C-98D9-4CDE-8487-1445E07EE141}" name="% í starfsstétt" dataDxfId="188"/>
    <tableColumn id="6" xr3:uid="{E7DC8634-0CEC-4592-B1D6-66F415853FB6}" name="% konur" dataDxfId="187"/>
    <tableColumn id="7" xr3:uid="{3C60F892-442E-4BA7-BB41-1C8FAC854A98}" name="% karlar" dataDxfId="186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DE161326-5317-4072-AE4C-F617569D2017}" name="Table3567891011121314" displayName="Table3567891011121314" ref="A144:G150" totalsRowShown="0" headerRowDxfId="185" dataDxfId="184">
  <autoFilter ref="A144:G150" xr:uid="{DE161326-5317-4072-AE4C-F617569D201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334572D3-7F3A-40C8-87B8-00016586BFB7}" name="Fastir starfsmenn Landsvirkjunar 2018"/>
    <tableColumn id="2" xr3:uid="{8AA21210-B54F-477E-A26C-4A3616845C62}" name="KK" dataDxfId="183" dataCellStyle="Normal 2"/>
    <tableColumn id="3" xr3:uid="{7ED214EE-E3A2-449A-AB97-0945CE459B9B}" name="KVK" dataDxfId="182" dataCellStyle="Normal 2"/>
    <tableColumn id="4" xr3:uid="{728D1396-7CC1-4282-84D8-FA690507DA5E}" name="Alls" dataDxfId="181" dataCellStyle="Hyperlink">
      <calculatedColumnFormula>SUM(B145:C145)</calculatedColumnFormula>
    </tableColumn>
    <tableColumn id="5" xr3:uid="{E7E2FB95-D7C2-4DDF-A9D0-94C8D4AA3A31}" name="% í starfsstétt" dataDxfId="180"/>
    <tableColumn id="6" xr3:uid="{97BF83BF-C0B5-4ACF-AC6C-5362E6A68104}" name="% konur" dataDxfId="179"/>
    <tableColumn id="7" xr3:uid="{5B8F2055-AECE-4322-9124-E8EE6BBC743C}" name="% karlar" dataDxfId="178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666AA63B-7228-45AC-8409-CA0ABB521171}" name="Table356789101112131415" displayName="Table356789101112131415" ref="A155:G161" totalsRowShown="0" headerRowDxfId="177" dataDxfId="176">
  <autoFilter ref="A155:G161" xr:uid="{666AA63B-7228-45AC-8409-CA0ABB52117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640E521A-6464-45E5-AD02-4B9428083C15}" name="Fastir starfsmenn Landsvirkjunar 2019"/>
    <tableColumn id="2" xr3:uid="{06C82F28-A882-4DEA-943F-13922F419D62}" name="KK" dataDxfId="175" dataCellStyle="Normal 2"/>
    <tableColumn id="3" xr3:uid="{3AD13139-11CA-4AEF-9BE1-00293CCAD316}" name="KVK" dataDxfId="174" dataCellStyle="Normal 2"/>
    <tableColumn id="4" xr3:uid="{A905BB84-564E-485A-8D3F-D1D1E8D96768}" name="Alls" dataDxfId="173" dataCellStyle="Hyperlink">
      <calculatedColumnFormula>SUM(B156:C156)</calculatedColumnFormula>
    </tableColumn>
    <tableColumn id="5" xr3:uid="{5EB74687-D5EE-4A85-A046-ED4BD8219D5B}" name="% í starfsstétt" dataDxfId="172"/>
    <tableColumn id="6" xr3:uid="{6EA15C4F-99DF-4BE1-8A81-C072AE658A35}" name="% konur" dataDxfId="171"/>
    <tableColumn id="7" xr3:uid="{3EF62D04-8DE8-4B22-ABF5-A62565F05C63}" name="% karlar" dataDxfId="170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C4CC07F0-79B9-49E7-9E14-D96B06CF88D7}" name="Table35678910111213141516" displayName="Table35678910111213141516" ref="A164:G170" totalsRowShown="0" headerRowDxfId="169" dataDxfId="168">
  <autoFilter ref="A164:G170" xr:uid="{C4CC07F0-79B9-49E7-9E14-D96B06CF88D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87934C09-64D8-43CA-BD95-8CAE18311D8F}" name="Fastir starfsmenn Landsvirkjunar 2020"/>
    <tableColumn id="2" xr3:uid="{A6957317-F2F7-4F0F-BB00-794BF5133EF0}" name="KK" dataDxfId="167" dataCellStyle="Normal 2"/>
    <tableColumn id="3" xr3:uid="{0C80D7F1-E17A-4E73-8161-DC1AB4FF43BA}" name="KVK" dataDxfId="166" dataCellStyle="Normal 2"/>
    <tableColumn id="4" xr3:uid="{785BBEAC-7B44-4F50-B370-F366CCB19367}" name="Alls" dataDxfId="165" dataCellStyle="Hyperlink">
      <calculatedColumnFormula>SUM(B165:C165)</calculatedColumnFormula>
    </tableColumn>
    <tableColumn id="5" xr3:uid="{4BC484C9-CC82-4606-B560-5BCBFE5CF27B}" name="% í starfsstétt" dataDxfId="164"/>
    <tableColumn id="6" xr3:uid="{C877F9EF-A46F-4AF4-B340-577D3A9AE1B3}" name="% konur" dataDxfId="163"/>
    <tableColumn id="7" xr3:uid="{82348398-43F5-49AA-B8B6-EE2FF03A7E06}" name="% karlar" dataDxfId="162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5C9D9E09-FA86-4C55-B683-7CA3FD820A69}" name="Table3567891011121314151617" displayName="Table3567891011121314151617" ref="A173:G179" totalsRowShown="0" headerRowDxfId="161" dataDxfId="160">
  <autoFilter ref="A173:G179" xr:uid="{5C9D9E09-FA86-4C55-B683-7CA3FD820A6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44A2445E-7B82-4295-84BE-DA4B87D0B9CC}" name="Fastir starfsmenn Landsvirkjunar 2021"/>
    <tableColumn id="2" xr3:uid="{ED7C0EC1-369E-43D4-BC46-274647F57C74}" name="KK" dataDxfId="159" dataCellStyle="Normal 2"/>
    <tableColumn id="3" xr3:uid="{3ABC26A2-DCC8-48FC-A5FF-2863E77E83B8}" name="KVK" dataDxfId="158" dataCellStyle="Normal 2"/>
    <tableColumn id="4" xr3:uid="{A39FEAF3-747E-4285-9C59-92F26929D1E6}" name="Alls" dataDxfId="157" dataCellStyle="Hyperlink">
      <calculatedColumnFormula>SUM(B174:C174)</calculatedColumnFormula>
    </tableColumn>
    <tableColumn id="5" xr3:uid="{2FBB15D6-37D8-4C48-BDB7-D5F4A444C331}" name="% í starfsstétt" dataDxfId="156"/>
    <tableColumn id="6" xr3:uid="{7F202643-1107-4137-B3ED-298FB48D000D}" name="% konur" dataDxfId="155"/>
    <tableColumn id="7" xr3:uid="{6A296E78-2208-45B8-B8FC-3C18388557C8}" name="% karlar" dataDxfId="15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F0DC1B91-529C-4DF9-AD0A-8A6289503B82}" name="Table318" displayName="Table318" ref="K4:N14" totalsRowShown="0" headerRowDxfId="153" dataDxfId="152">
  <autoFilter ref="K4:N14" xr:uid="{F0DC1B91-529C-4DF9-AD0A-8A6289503B82}">
    <filterColumn colId="0" hiddenButton="1"/>
    <filterColumn colId="1" hiddenButton="1"/>
    <filterColumn colId="2" hiddenButton="1"/>
    <filterColumn colId="3" hiddenButton="1"/>
  </autoFilter>
  <tableColumns count="4">
    <tableColumn id="1" xr3:uid="{802E3EC7-B177-4E34-9FEC-AA89A393AAF2}" name="Fastir starfsmenn Alcoa 2007"/>
    <tableColumn id="5" xr3:uid="{54D06FA9-4B49-4CE9-8E53-953D548A5102}" name="% í starfsstétt" dataDxfId="151"/>
    <tableColumn id="6" xr3:uid="{A6D765F2-477F-449F-A5A6-9D52F73DA17A}" name="% konur" dataDxfId="150"/>
    <tableColumn id="7" xr3:uid="{5F16D9A1-AA14-49C5-BE0E-860230415F78}" name="% karlar" dataDxfId="149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930D6765-EA8E-41E1-A8E4-AA832F81AF9E}" name="Table320" displayName="Table320" ref="A4:D14" totalsRowShown="0" headerRowDxfId="148" dataDxfId="147">
  <autoFilter ref="A4:D14" xr:uid="{930D6765-EA8E-41E1-A8E4-AA832F81AF9E}">
    <filterColumn colId="0" hiddenButton="1"/>
    <filterColumn colId="1" hiddenButton="1"/>
    <filterColumn colId="2" hiddenButton="1"/>
    <filterColumn colId="3" hiddenButton="1"/>
  </autoFilter>
  <tableColumns count="4">
    <tableColumn id="1" xr3:uid="{F486B01A-2BC8-450C-82F0-D37046DD5218}" name="Fastir starfsmenn Landsvirkjunar 2007"/>
    <tableColumn id="5" xr3:uid="{2DA7AA29-B1F2-4720-8D9D-4E9D04F2D993}" name="% í starfsstétt" dataDxfId="146"/>
    <tableColumn id="6" xr3:uid="{3988754F-896E-47E9-8C88-3F1F708BE1C3}" name="% konur" dataDxfId="145"/>
    <tableColumn id="7" xr3:uid="{CEE26B06-3534-44E6-9B1D-8A31A76BA60C}" name="% karlar" dataDxfId="144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98435CB7-331D-4F2E-A5A4-4FC1CAB7ABD9}" name="Table321" displayName="Table321" ref="K17:N27" totalsRowShown="0" headerRowDxfId="143" dataDxfId="142">
  <autoFilter ref="K17:N27" xr:uid="{98435CB7-331D-4F2E-A5A4-4FC1CAB7ABD9}">
    <filterColumn colId="0" hiddenButton="1"/>
    <filterColumn colId="1" hiddenButton="1"/>
    <filterColumn colId="2" hiddenButton="1"/>
    <filterColumn colId="3" hiddenButton="1"/>
  </autoFilter>
  <tableColumns count="4">
    <tableColumn id="1" xr3:uid="{22E967E8-7FED-4438-9AB3-9703E201DF76}" name="Fastir starfsmenn Alcoa 2008"/>
    <tableColumn id="5" xr3:uid="{AFFF051D-BDD9-4DFA-945C-2B73E96D5E71}" name="% í starfsstétt" dataDxfId="141"/>
    <tableColumn id="6" xr3:uid="{A96A7A21-DE95-4090-8CBC-87813A90AA0A}" name="% konur" dataDxfId="140"/>
    <tableColumn id="7" xr3:uid="{25D8EBF5-69AB-468D-BC17-81BEC6483AF8}" name="% karlar" dataDxfId="139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39E027C2-FD6B-4111-AA9F-07E9408AD997}" name="Table32122" displayName="Table32122" ref="K30:N40" totalsRowShown="0" headerRowDxfId="138" dataDxfId="137">
  <autoFilter ref="K30:N40" xr:uid="{39E027C2-FD6B-4111-AA9F-07E9408AD997}">
    <filterColumn colId="0" hiddenButton="1"/>
    <filterColumn colId="1" hiddenButton="1"/>
    <filterColumn colId="2" hiddenButton="1"/>
    <filterColumn colId="3" hiddenButton="1"/>
  </autoFilter>
  <tableColumns count="4">
    <tableColumn id="1" xr3:uid="{9706E061-6822-431C-8CF8-ED93B97C7F0F}" name="Fastir starfsmenn Alcoa 2009"/>
    <tableColumn id="5" xr3:uid="{87C2EE10-6125-4AA8-8371-662D4641EFF1}" name="% í starfsstétt" dataDxfId="136"/>
    <tableColumn id="6" xr3:uid="{D302467B-6A58-43E6-874F-1D588E9C4674}" name="% konur" dataDxfId="135"/>
    <tableColumn id="7" xr3:uid="{377A54D8-D0BC-474A-BBC9-F962EFB4C363}" name="% karlar" dataDxfId="134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2C48F39-A8F8-4270-A252-115289A1F8D1}" name="Table3212223" displayName="Table3212223" ref="K43:N53" totalsRowShown="0" headerRowDxfId="133" dataDxfId="132">
  <autoFilter ref="K43:N53" xr:uid="{02C48F39-A8F8-4270-A252-115289A1F8D1}">
    <filterColumn colId="0" hiddenButton="1"/>
    <filterColumn colId="1" hiddenButton="1"/>
    <filterColumn colId="2" hiddenButton="1"/>
    <filterColumn colId="3" hiddenButton="1"/>
  </autoFilter>
  <tableColumns count="4">
    <tableColumn id="1" xr3:uid="{36856C77-7C10-45EE-AB09-F72AFEA262A1}" name="Fastir starfsmenn Alcoa 2010"/>
    <tableColumn id="5" xr3:uid="{C49894B1-5440-4249-9A00-B647B721E08F}" name="% í starfsstétt" dataDxfId="131"/>
    <tableColumn id="6" xr3:uid="{F0809842-005C-4F71-A1D4-7989578A9D14}" name="% konur" dataDxfId="130"/>
    <tableColumn id="7" xr3:uid="{F5878D0E-4BAA-4191-AA17-918A5E687905}" name="% karlar" dataDxfId="12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AC4376B-4749-473C-B8E4-2099CD67B39F}" name="Table35" displayName="Table35" ref="A30:G40" totalsRowShown="0" headerRowDxfId="257" dataDxfId="256">
  <autoFilter ref="A30:G40" xr:uid="{2AC4376B-4749-473C-B8E4-2099CD67B39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C6180A53-49FB-47FA-8A1C-3F2154EF5690}" name="Fastir starfsmenn Landsvirkjunar 2009"/>
    <tableColumn id="2" xr3:uid="{432B9977-BDEF-4CC5-8B3F-0F3528AC68D6}" name="KK" dataDxfId="255" dataCellStyle="Normal 2"/>
    <tableColumn id="3" xr3:uid="{19897578-086E-40D1-A06D-C1443C03DA86}" name="KVK" dataDxfId="254" dataCellStyle="Normal 2"/>
    <tableColumn id="4" xr3:uid="{C62CE79A-6341-495C-BE0E-12B2EAC47790}" name="Alls" dataDxfId="253" dataCellStyle="Hyperlink">
      <calculatedColumnFormula>SUM(B31:C31)</calculatedColumnFormula>
    </tableColumn>
    <tableColumn id="5" xr3:uid="{E5727887-DA23-4332-983C-FF449381500C}" name="% í starfsstétt" dataDxfId="252"/>
    <tableColumn id="6" xr3:uid="{9A5B2D74-F5FD-4B5E-AF8B-743FAD4E39C3}" name="% konur" dataDxfId="251"/>
    <tableColumn id="7" xr3:uid="{8B0EFB7F-E991-4F25-9241-E4A00973DDE8}" name="% karlar" dataDxfId="250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D60FBAAC-643E-493B-99F9-BE598371A838}" name="Table356724" displayName="Table356724" ref="K56:S66" totalsRowShown="0" headerRowDxfId="128" dataDxfId="127">
  <autoFilter ref="K56:S66" xr:uid="{D60FBAAC-643E-493B-99F9-BE598371A83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F2B89AE0-3704-4D49-84EE-5908F71685CE}" name="Fastir starfsmennAlcoa 2011"/>
    <tableColumn id="2" xr3:uid="{664A350C-A87D-4649-96DC-929C1D4BA89D}" name="KK" dataDxfId="126" dataCellStyle="Normal 2"/>
    <tableColumn id="3" xr3:uid="{4589235B-BE7C-41FB-B397-4512E218B053}" name="KVK" dataDxfId="125" dataCellStyle="Normal 2"/>
    <tableColumn id="4" xr3:uid="{6C63A6F6-E54E-4F6C-A6BC-2F2FB274DCC2}" name="Alls" dataDxfId="124" dataCellStyle="Hyperlink">
      <calculatedColumnFormula>SUM(L57:M57)</calculatedColumnFormula>
    </tableColumn>
    <tableColumn id="5" xr3:uid="{AF4DECB7-17CA-47E4-BF39-D996E31E0A8F}" name="% í starfsstétt" dataDxfId="123"/>
    <tableColumn id="6" xr3:uid="{47DF9E54-86A5-4407-B8CC-60C3582E8A29}" name="% konur" dataDxfId="122"/>
    <tableColumn id="7" xr3:uid="{254D5079-FAF5-4A4C-9C67-DEC9557EF55F}" name="% karlar" dataDxfId="121"/>
    <tableColumn id="8" xr3:uid="{FB93669C-E4B1-4850-A3AF-CB660B6F1477}" name="Konur af heild" dataDxfId="120">
      <calculatedColumnFormula>Table356724[[#This Row],[KVK]]/$N$66</calculatedColumnFormula>
    </tableColumn>
    <tableColumn id="9" xr3:uid="{9A1D5DEA-B317-4360-B013-4CCC9435A5A4}" name="Karlar af heild" dataDxfId="119">
      <calculatedColumnFormula>Table356724[[#This Row],[KK]]/$N$66</calculatedColumnFormula>
    </tableColumn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7033823A-A6FD-4179-819D-3659BAA41825}" name="Table321222325" displayName="Table321222325" ref="K69:N79" totalsRowShown="0" headerRowDxfId="118" dataDxfId="117">
  <autoFilter ref="K69:N79" xr:uid="{7033823A-A6FD-4179-819D-3659BAA41825}">
    <filterColumn colId="0" hiddenButton="1"/>
    <filterColumn colId="1" hiddenButton="1"/>
    <filterColumn colId="2" hiddenButton="1"/>
    <filterColumn colId="3" hiddenButton="1"/>
  </autoFilter>
  <tableColumns count="4">
    <tableColumn id="1" xr3:uid="{7FC04952-5FFC-40A6-BA7A-B8674833E46A}" name="Fastir starfsmenn Alcoa 2012"/>
    <tableColumn id="5" xr3:uid="{9FB25543-68A3-42E1-A3F0-B5FE544FCC58}" name="% í starfsstétt" dataDxfId="116"/>
    <tableColumn id="6" xr3:uid="{346D8FA6-2E69-4DC8-9A90-CA3F37181AFF}" name="% konur" dataDxfId="115"/>
    <tableColumn id="7" xr3:uid="{A7BDE619-3B57-429F-8A3E-FAD5152DD770}" name="% karlar" dataDxfId="114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75C75671-74C6-43BC-92A6-686AA2B2D61D}" name="Table32122232526" displayName="Table32122232526" ref="K82:P92" totalsRowShown="0" headerRowDxfId="113" dataDxfId="112">
  <autoFilter ref="K82:P92" xr:uid="{75C75671-74C6-43BC-92A6-686AA2B2D61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50AE9D5E-6357-48D6-BC8B-82FD0BEEB279}" name="Fastir starfsmenn Alcoa 2013"/>
    <tableColumn id="5" xr3:uid="{67D0BBBC-531C-4C11-94B8-85DED7319BFE}" name="% í starfsstétt" dataDxfId="111"/>
    <tableColumn id="6" xr3:uid="{0C9AEBE7-2B58-4C51-9C50-B302991F3386}" name="% konur" dataDxfId="110"/>
    <tableColumn id="7" xr3:uid="{15047BCD-4724-4CFA-A23F-E27D256CAA0F}" name="% karlar" dataDxfId="109"/>
    <tableColumn id="8" xr3:uid="{DA589A28-C956-41E0-8FDF-C5702A2E7DA1}" name="Konur af heild" dataDxfId="108"/>
    <tableColumn id="9" xr3:uid="{2042E7BF-BADC-498A-8669-D0E1B8CEBD1F}" name="Karlar af heild" dataDxfId="107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6A08F57-8422-40B9-97C2-372FD02D4C98}" name="Table3212223252627" displayName="Table3212223252627" ref="K95:P105" totalsRowShown="0" headerRowDxfId="106" dataDxfId="105">
  <autoFilter ref="K95:P105" xr:uid="{06A08F57-8422-40B9-97C2-372FD02D4C9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7587E204-2D31-42C3-95A5-6FE6998490C9}" name="Fastir starfsmenn Alcoa 2014"/>
    <tableColumn id="5" xr3:uid="{29AEBE2C-79A1-45AB-B245-4693105E795F}" name="% í starfsstétt" dataDxfId="104"/>
    <tableColumn id="6" xr3:uid="{95047E94-0087-4278-A229-00AED7E99992}" name="% konur" dataDxfId="103"/>
    <tableColumn id="7" xr3:uid="{3670E710-D3FA-4A9D-B509-CE1BE3CC7E3E}" name="% karlar" dataDxfId="102"/>
    <tableColumn id="8" xr3:uid="{93E1A96E-D106-45D8-9E9B-675CE6597C21}" name="Konur af heild" dataDxfId="101"/>
    <tableColumn id="9" xr3:uid="{5F74A1B5-D36F-426C-8F62-E8B368C8EF08}" name="Karlar af heild" dataDxfId="100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F23B90AB-EE42-4459-B13F-11F2BFD6B282}" name="Table321222325262728" displayName="Table321222325262728" ref="K108:P118" totalsRowShown="0" headerRowDxfId="99" dataDxfId="98">
  <autoFilter ref="K108:P118" xr:uid="{F23B90AB-EE42-4459-B13F-11F2BFD6B28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13F90123-B4A4-4111-8FF6-5C76AE171051}" name="Fastir starfsmenn Alcoa 2015"/>
    <tableColumn id="5" xr3:uid="{DEA9A0D2-D6A4-4223-955E-F312397E5375}" name="% í starfsstétt" dataDxfId="97"/>
    <tableColumn id="6" xr3:uid="{ECE643A8-5F2E-428C-A51D-F78DAC7B90AE}" name="% konur" dataDxfId="96"/>
    <tableColumn id="7" xr3:uid="{C732D529-F45B-4B18-907A-EF06168BAF91}" name="% karlar" dataDxfId="95"/>
    <tableColumn id="8" xr3:uid="{025D41A7-890A-419A-AE64-AD1C54ABC40A}" name="Konur af heild" dataDxfId="94"/>
    <tableColumn id="9" xr3:uid="{24625D4F-52C1-4C26-8100-FB69AAB14844}" name="Karlar af heild" dataDxfId="93"/>
  </tableColumns>
  <tableStyleInfo name="TableStyleMedium2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9098079C-F14A-4C99-9BCF-38539F2F84F4}" name="Table32122232526272829" displayName="Table32122232526272829" ref="K121:P131" totalsRowShown="0" headerRowDxfId="92" dataDxfId="91">
  <autoFilter ref="K121:P131" xr:uid="{9098079C-F14A-4C99-9BCF-38539F2F84F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E8588CB5-1F03-4D76-811E-49021E0E8BDD}" name="Fastir starfsmenn Alcoa 2016"/>
    <tableColumn id="5" xr3:uid="{4C827F65-73B7-44E2-9378-6EABFF599C95}" name="% í starfsstétt" dataDxfId="90"/>
    <tableColumn id="6" xr3:uid="{02152663-DECF-4CC0-9879-B494B403575D}" name="% konur" dataDxfId="89"/>
    <tableColumn id="7" xr3:uid="{95B56074-4C30-414A-B156-ED9DE82CA3AF}" name="% karlar" dataDxfId="88"/>
    <tableColumn id="8" xr3:uid="{FA507BE4-40F4-4F79-B95F-0E8BC88303C8}" name="Konur af heild" dataDxfId="87"/>
    <tableColumn id="9" xr3:uid="{C649F5D3-0A00-4B9C-8625-7A2D33C46444}" name="Karlar af heild" dataDxfId="86"/>
  </tableColumns>
  <tableStyleInfo name="TableStyleMedium2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38565738-5CBF-46EF-9023-F8FF17AE4175}" name="Table35678930" displayName="Table35678930" ref="K134:S143" totalsRowShown="0" headerRowDxfId="85" dataDxfId="84">
  <autoFilter ref="K134:S143" xr:uid="{38565738-5CBF-46EF-9023-F8FF17AE417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A4127240-0739-40F6-94DF-57B491569AA5}" name="Fastir starfsmenn Alcoa 2017"/>
    <tableColumn id="2" xr3:uid="{B7053D6E-933A-4EEF-9EB5-C0AF5C896FBD}" name="KK" dataDxfId="83" dataCellStyle="Normal 2"/>
    <tableColumn id="3" xr3:uid="{7D646EF0-8659-4EAC-9FEC-95DD1BCCD744}" name="KVK" dataDxfId="82" dataCellStyle="Normal 2"/>
    <tableColumn id="4" xr3:uid="{C9A02CDF-ED98-487B-877A-590CE1C6F311}" name="Alls" dataDxfId="81" dataCellStyle="Hyperlink">
      <calculatedColumnFormula>SUM(L135:M135)</calculatedColumnFormula>
    </tableColumn>
    <tableColumn id="5" xr3:uid="{F76D6D90-031F-4E20-BA66-EC458BD627A0}" name="% í starfsstétt" dataDxfId="80"/>
    <tableColumn id="6" xr3:uid="{BBAC1B7A-6B16-4CC3-9A9C-A9A9B69FC8D2}" name="% konur" dataDxfId="79"/>
    <tableColumn id="7" xr3:uid="{04F4664D-5D54-4301-A5EE-593788820747}" name="% karlar" dataDxfId="78"/>
    <tableColumn id="8" xr3:uid="{468B3092-0435-4F38-9DD9-3EE9D111D2F7}" name="Konur af heild" dataDxfId="77">
      <calculatedColumnFormula>Table35678930[[#This Row],[KVK]]/$N$143</calculatedColumnFormula>
    </tableColumn>
    <tableColumn id="9" xr3:uid="{BE7770CF-7146-47B1-B54A-47CDD1A9B90F}" name="Karlar af heild" dataDxfId="76">
      <calculatedColumnFormula>Table35678930[[#This Row],[KK]]/$N$143</calculatedColumnFormula>
    </tableColumn>
  </tableColumns>
  <tableStyleInfo name="TableStyleMedium2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F6968F69-B0F2-4212-A8C6-C8137D656773}" name="Table3212223252627282931" displayName="Table3212223252627282931" ref="K146:P156" totalsRowShown="0" headerRowDxfId="75" dataDxfId="74">
  <autoFilter ref="K146:P156" xr:uid="{F6968F69-B0F2-4212-A8C6-C8137D65677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B3F725D2-6C62-460B-BBF5-45BD186A9115}" name="Fastir starfsmenn Alcoa 2018"/>
    <tableColumn id="5" xr3:uid="{309D02ED-0AD2-4B99-BE48-236F3D856DF1}" name="% í starfsstétt" dataDxfId="73"/>
    <tableColumn id="6" xr3:uid="{6BC4210C-8582-42FA-A2EE-3663816DFF95}" name="% konur" dataDxfId="72"/>
    <tableColumn id="7" xr3:uid="{E834F547-305D-4505-B9E2-62B03233CF83}" name="% karlar" dataDxfId="71"/>
    <tableColumn id="8" xr3:uid="{C31BE9BA-B472-4440-862C-C75BBA5B6AA5}" name="Konur af heild" dataDxfId="70"/>
    <tableColumn id="9" xr3:uid="{DBE9F6BA-3874-47C8-A208-2AEB1F556157}" name="Karlar af heild" dataDxfId="69"/>
  </tableColumns>
  <tableStyleInfo name="TableStyleMedium2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7BC0C9E4-3131-4F5C-A1AB-4131C89B4B5F}" name="Table321222325262728293132" displayName="Table321222325262728293132" ref="K159:P169" totalsRowShown="0" headerRowDxfId="68" dataDxfId="67">
  <autoFilter ref="K159:P169" xr:uid="{7BC0C9E4-3131-4F5C-A1AB-4131C89B4B5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739EA26E-6526-4031-8CEE-705DB7A11107}" name="Fastir starfsmenn Alcoa 2019"/>
    <tableColumn id="5" xr3:uid="{604AE1C4-DBEA-47C0-B793-7B72B2218821}" name="% í starfsstétt" dataDxfId="66"/>
    <tableColumn id="6" xr3:uid="{7A1E8A33-80FE-4C2A-8A1E-9A8A475B476F}" name="% konur" dataDxfId="65"/>
    <tableColumn id="7" xr3:uid="{B5F2B40D-D186-4874-ADD7-8BD1C17D1EF4}" name="% karlar" dataDxfId="64"/>
    <tableColumn id="8" xr3:uid="{40E529A7-D72D-47FB-B715-764F31288FC4}" name="Konur af heild" dataDxfId="63"/>
    <tableColumn id="9" xr3:uid="{F543E09F-51E9-42D5-82CA-23DEEEF32B5C}" name="Karlar af heild" dataDxfId="62"/>
  </tableColumns>
  <tableStyleInfo name="TableStyleMedium2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F2C3830C-D228-48B9-898E-A0D733B9EE88}" name="Table32122232526272829313233" displayName="Table32122232526272829313233" ref="K172:P182" totalsRowShown="0" headerRowDxfId="61" dataDxfId="60">
  <autoFilter ref="K172:P182" xr:uid="{F2C3830C-D228-48B9-898E-A0D733B9EE8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A7C1A744-0A16-4314-A778-4A260647FCDA}" name="Fastir starfsmenn Alcoa 2020"/>
    <tableColumn id="5" xr3:uid="{87C10D1F-103A-4E8D-9F85-63935714A498}" name="% í starfsstétt" dataDxfId="59"/>
    <tableColumn id="6" xr3:uid="{295C7C6C-C2C2-49C8-B5EA-0B97AC16D710}" name="% konur" dataDxfId="58"/>
    <tableColumn id="7" xr3:uid="{8B33E3C9-D57E-4E0E-91EF-1D76B7EC3FA4}" name="% karlar" dataDxfId="57"/>
    <tableColumn id="8" xr3:uid="{5522FAEE-72E6-49D1-9D29-88EB09A9842C}" name="Konur af heild" dataDxfId="56"/>
    <tableColumn id="9" xr3:uid="{5B4E5283-39E5-42E4-BC52-6F6440C3F2A8}" name="Karlar af heild" dataDxfId="55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89E236C-969C-4213-BA29-584F8BF18ED2}" name="Table356" displayName="Table356" ref="A43:G53" totalsRowShown="0" headerRowDxfId="249" dataDxfId="248">
  <autoFilter ref="A43:G53" xr:uid="{E89E236C-969C-4213-BA29-584F8BF18ED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AA07DD25-810E-4E68-9E34-BC200534F009}" name="Fastir starfsmenn Landsvirkjunar 2010"/>
    <tableColumn id="2" xr3:uid="{E23151CD-0DC5-4296-8717-83FB1E17AC9D}" name="KK" dataDxfId="247" dataCellStyle="Normal 2"/>
    <tableColumn id="3" xr3:uid="{89649B2D-6408-4B82-9452-F255F85F8FCA}" name="KVK" dataDxfId="246" dataCellStyle="Normal 2"/>
    <tableColumn id="4" xr3:uid="{F545A7F9-56DC-46AB-8CF7-8D89A6713D1C}" name="Alls" dataDxfId="245" dataCellStyle="Hyperlink">
      <calculatedColumnFormula>SUM(B44:C44)</calculatedColumnFormula>
    </tableColumn>
    <tableColumn id="5" xr3:uid="{35CA5436-0008-403A-AA5B-4D2184525318}" name="% í starfsstétt" dataDxfId="244"/>
    <tableColumn id="6" xr3:uid="{3F0BC7C5-1644-47AC-8B5C-51FC4BEBF439}" name="% konur" dataDxfId="243"/>
    <tableColumn id="7" xr3:uid="{D8F256AD-D70F-48A6-B77F-148E10B8553B}" name="% karlar" dataDxfId="242"/>
  </tableColumns>
  <tableStyleInfo name="TableStyleMedium2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A9F367A5-2381-4E4A-9363-DFA98CB8EC82}" name="Table32122232526272829313234" displayName="Table32122232526272829313234" ref="K185:P195" totalsRowShown="0" headerRowDxfId="54" dataDxfId="53">
  <autoFilter ref="K185:P195" xr:uid="{A9F367A5-2381-4E4A-9363-DFA98CB8EC8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B29605A8-7AA7-40A5-999E-DDFAD924356F}" name="Fastir starfsmenn Alcoa 2021"/>
    <tableColumn id="5" xr3:uid="{E4B3FD34-40DD-4F4D-BD93-90489F17CD34}" name="% í starfsstétt" dataDxfId="52"/>
    <tableColumn id="6" xr3:uid="{75A3FB90-259C-4F59-86C5-53CAD0AD0E48}" name="% konur" dataDxfId="51"/>
    <tableColumn id="7" xr3:uid="{09A5AAFA-72A8-4CCB-9AAA-3EE22BA7306E}" name="% karlar" dataDxfId="50"/>
    <tableColumn id="8" xr3:uid="{DB2A28ED-5E3C-4F73-B600-710E522690FA}" name="Konur af heild" dataDxfId="49"/>
    <tableColumn id="9" xr3:uid="{9088B1ED-BFBB-467A-962D-9182031D33D5}" name="Karlar af heild" dataDxfId="48"/>
  </tableColumns>
  <tableStyleInfo name="TableStyleMedium2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C788EFCF-1899-49B0-B617-64C95E0CDD29}" name="Table34" displayName="Table34" ref="K4:Q13" totalsRowShown="0" headerRowDxfId="47" dataDxfId="46">
  <autoFilter ref="K4:Q13" xr:uid="{C788EFCF-1899-49B0-B617-64C95E0CDD29}"/>
  <tableColumns count="7">
    <tableColumn id="1" xr3:uid="{EA02A1D6-C178-4DBF-919C-FCCDB8CEC469}" name="Column1"/>
    <tableColumn id="2" xr3:uid="{55C297AE-D03A-45D7-9406-A43065F5B113}" name="Fjarðaál - KVK" dataDxfId="45">
      <calculatedColumnFormula>C5*100</calculatedColumnFormula>
    </tableColumn>
    <tableColumn id="3" xr3:uid="{CA897E32-09A1-4533-8269-81B2EFBF02DC}" name="Fjarðaál - KK" dataDxfId="44">
      <calculatedColumnFormula>D5*100</calculatedColumnFormula>
    </tableColumn>
    <tableColumn id="4" xr3:uid="{2FAF1BB7-EDD2-4B86-9A5C-0D252B23079A}" name="Landsvirkjun - KVK" dataDxfId="43"/>
    <tableColumn id="5" xr3:uid="{0251A255-DE1F-4DA5-8287-BE366760CA9D}" name="Landsvirkjun - KK" dataDxfId="42"/>
    <tableColumn id="6" xr3:uid="{B7F31731-A2FB-49E1-8111-B74135E6C41D}" name="Ísland - KVK" dataDxfId="41">
      <calculatedColumnFormula>G5*100</calculatedColumnFormula>
    </tableColumn>
    <tableColumn id="7" xr3:uid="{9595B132-5557-4D8C-9AD7-D93C84FAEF0F}" name="Ísland - KK" dataDxfId="40">
      <calculatedColumnFormula>H5*100</calculatedColumnFormula>
    </tableColumn>
  </tableColumns>
  <tableStyleInfo name="TableStyleMedium2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E9BBB45E-4F45-43C5-8257-939CB5B44C00}" name="Table36" displayName="Table36" ref="S4:Y13" totalsRowShown="0" headerRowDxfId="39" dataDxfId="38">
  <autoFilter ref="S4:Y13" xr:uid="{E9BBB45E-4F45-43C5-8257-939CB5B44C00}"/>
  <tableColumns count="7">
    <tableColumn id="1" xr3:uid="{935D07BE-78D5-48B6-A82D-9E618739E1A8}" name="Column1"/>
    <tableColumn id="2" xr3:uid="{A2624CD0-44A3-4A03-8AD3-2681943E57C8}" name="Fjarðaál - KVK" dataDxfId="37">
      <calculatedColumnFormula>C5</calculatedColumnFormula>
    </tableColumn>
    <tableColumn id="3" xr3:uid="{1F6DD694-C5C5-457F-AF9D-C21D9CF6EFCD}" name="Fjarðaál - KK" dataDxfId="36">
      <calculatedColumnFormula>D5</calculatedColumnFormula>
    </tableColumn>
    <tableColumn id="4" xr3:uid="{110E6EB1-DC0F-4033-9ED7-758E4D4A7507}" name="Landsvirkjun - KVK" dataDxfId="35"/>
    <tableColumn id="5" xr3:uid="{840DF903-9EB3-4F86-835B-3440B0DB5E3A}" name="Landsvirkjun - KK" dataDxfId="34"/>
    <tableColumn id="6" xr3:uid="{CE627D12-CD38-4396-84F8-4B99FC8F6B6A}" name="Ísland - KVK" dataDxfId="33">
      <calculatedColumnFormula>G5</calculatedColumnFormula>
    </tableColumn>
    <tableColumn id="7" xr3:uid="{D0FF727D-62A5-4F20-B65D-D156F88B48FA}" name="Ísland - KK" dataDxfId="32">
      <calculatedColumnFormula>H5</calculatedColumnFormula>
    </tableColumn>
  </tableColumns>
  <tableStyleInfo name="TableStyleMedium2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4F2E564D-48D7-4CBA-B609-E4C95D86E5A1}" name="Table37" displayName="Table37" ref="B4:H13" totalsRowShown="0" headerRowDxfId="31" dataDxfId="30">
  <autoFilter ref="B4:H13" xr:uid="{4F2E564D-48D7-4CBA-B609-E4C95D86E5A1}"/>
  <tableColumns count="7">
    <tableColumn id="1" xr3:uid="{629377C7-ADC6-4811-B7FB-93CEB2B363DC}" name="Útreikningur"/>
    <tableColumn id="2" xr3:uid="{0668FEF4-CA76-4E83-A10F-88F70FFDA5B9}" name="Fjarðaál - KVK" dataDxfId="29">
      <calculatedColumnFormula>'Frumgögn LV&amp;Alcoa'!O186</calculatedColumnFormula>
    </tableColumn>
    <tableColumn id="3" xr3:uid="{75D7CABE-634B-4CE3-9B9E-DBD4AF54297E}" name="Fjarðaál - KK" dataDxfId="28">
      <calculatedColumnFormula>'Frumgögn LV&amp;Alcoa'!P186</calculatedColumnFormula>
    </tableColumn>
    <tableColumn id="4" xr3:uid="{C21B6DCA-1233-4D1D-A0EC-F76C10B3788D}" name="Landsvirkjun - KVK" dataDxfId="27"/>
    <tableColumn id="5" xr3:uid="{EA93258B-627B-4C43-A239-D2C25A3A3C00}" name="Landsvirkjun - KK" dataDxfId="26"/>
    <tableColumn id="6" xr3:uid="{6B846741-73D5-4211-A3D2-507322C4EE17}" name="Ísland - KVK" dataDxfId="25">
      <calculatedColumnFormula>'Frumgögn Hagstofa'!U32/'Frumgögn Hagstofa'!$U$11</calculatedColumnFormula>
    </tableColumn>
    <tableColumn id="7" xr3:uid="{35913A52-096A-4DD5-94D4-ED711696D2A6}" name="Ísland - KK" dataDxfId="24">
      <calculatedColumnFormula>'Frumgögn Hagstofa'!U22/'Frumgögn Hagstofa'!$U$11</calculatedColumnFormula>
    </tableColumn>
  </tableColumns>
  <tableStyleInfo name="TableStyleMedium2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18C2400-2E33-42DD-BCC6-C91B5F1501D6}" name="Table1" displayName="Table1" ref="B17:H32" totalsRowShown="0">
  <autoFilter ref="B17:H32" xr:uid="{818C2400-2E33-42DD-BCC6-C91B5F1501D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34A1A034-1496-4718-AD23-E011CCC4269E}" name="null"/>
    <tableColumn id="2" xr3:uid="{4E5F6D5D-33F5-4984-B056-64AEA2C05C04}" name="Fjarðaál - KVK" dataDxfId="10"/>
    <tableColumn id="3" xr3:uid="{1713FDD3-D587-4363-B24B-F1AA63636DCA}" name="Fjarðaál - KK" dataDxfId="9"/>
    <tableColumn id="4" xr3:uid="{392E3089-ECBE-461E-BD2C-3C2178BB118B}" name="Landsvirkjun - KVK" dataDxfId="8"/>
    <tableColumn id="5" xr3:uid="{9E5CF531-E809-4939-9CED-18B4621E7C99}" name="Landsvirkjun - KK" dataDxfId="7"/>
    <tableColumn id="6" xr3:uid="{3D37F53C-00F4-4699-BA91-87311C33A0F2}" name="Ísland - KVK" dataDxfId="6"/>
    <tableColumn id="7" xr3:uid="{A54C6A2E-D563-4830-834F-F1668C0D4C9C}" name="Ísland - KK" dataDxfId="5"/>
  </tableColumns>
  <tableStyleInfo name="TableStyleMedium2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2697617-C786-4197-BD6D-BA934D616254}" name="Table2" displayName="Table2" ref="K17:Q32" totalsRowShown="0" headerRowDxfId="21" dataDxfId="22">
  <autoFilter ref="K17:Q32" xr:uid="{32697617-C786-4197-BD6D-BA934D616254}"/>
  <tableColumns count="7">
    <tableColumn id="1" xr3:uid="{28BE0884-090D-4500-8335-1AF99D067288}" name="null" dataDxfId="23">
      <calculatedColumnFormula>Table1[[#This Row],[null]]</calculatedColumnFormula>
    </tableColumn>
    <tableColumn id="2" xr3:uid="{DF45E496-D09A-4EEE-AF4D-74D683C43019}" name="Fjarðaál - KVK" dataDxfId="17">
      <calculatedColumnFormula>Table1[[#This Row],[Fjarðaál - KVK]]*100</calculatedColumnFormula>
    </tableColumn>
    <tableColumn id="3" xr3:uid="{C3C49100-F1EC-45D8-A49B-997002F3D034}" name="Fjarðaál - KK" dataDxfId="16">
      <calculatedColumnFormula>Table1[[#This Row],[Fjarðaál - KK]]*100</calculatedColumnFormula>
    </tableColumn>
    <tableColumn id="4" xr3:uid="{A7407FFB-3BD8-4AEC-9AF3-5F5D89D195EA}" name="Landsvirkjun - KVK" dataDxfId="15">
      <calculatedColumnFormula>Table1[[#This Row],[Landsvirkjun - KVK]]*100</calculatedColumnFormula>
    </tableColumn>
    <tableColumn id="5" xr3:uid="{B8EB5E35-1EA5-4BAA-877E-08A740CE257F}" name="Landsvirkjun - KK" dataDxfId="14">
      <calculatedColumnFormula>Table1[[#This Row],[Landsvirkjun - KK]]*100</calculatedColumnFormula>
    </tableColumn>
    <tableColumn id="6" xr3:uid="{B200CE46-9C90-494D-9F49-E4AE9512D4CC}" name="Ísland - KVK" dataDxfId="13">
      <calculatedColumnFormula>Table1[[#This Row],[Ísland - KVK]]*100</calculatedColumnFormula>
    </tableColumn>
    <tableColumn id="7" xr3:uid="{757311C6-9A15-4E32-96C3-D4B3CFA12F29}" name="Ísland - KK" dataDxfId="12">
      <calculatedColumnFormula>Table1[[#This Row],[Ísland - KK]]*100</calculatedColumnFormula>
    </tableColumn>
  </tableColumns>
  <tableStyleInfo name="TableStyleMedium2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7E251013-DC65-4B54-995C-A120ED1D5E8A}" name="Table18" displayName="Table18" ref="S17:Y32" totalsRowShown="0" headerRowDxfId="18" dataDxfId="19">
  <autoFilter ref="S17:Y32" xr:uid="{7E251013-DC65-4B54-995C-A120ED1D5E8A}"/>
  <tableColumns count="7">
    <tableColumn id="1" xr3:uid="{0A6F0B06-C820-4C62-A88F-88A2F2A5D42F}" name="null" dataDxfId="20">
      <calculatedColumnFormula>Table1[[#This Row],[null]]</calculatedColumnFormula>
    </tableColumn>
    <tableColumn id="2" xr3:uid="{D232F736-64C6-4EFD-965E-1DAB3493C266}" name="Fjarðaál - KVK" dataDxfId="11">
      <calculatedColumnFormula>Table1[[#This Row],[Fjarðaál - KVK]]</calculatedColumnFormula>
    </tableColumn>
    <tableColumn id="3" xr3:uid="{4D06DAC6-5023-40BE-A8F1-1D4B6F7D6489}" name="Fjarðaál - KK" dataDxfId="4">
      <calculatedColumnFormula>Table1[[#This Row],[Fjarðaál - KK]]</calculatedColumnFormula>
    </tableColumn>
    <tableColumn id="4" xr3:uid="{91CDF01B-B3FF-4D99-84A9-26B14CF2E1CD}" name="Landsvirkjun - KVK" dataDxfId="3">
      <calculatedColumnFormula>Table1[[#This Row],[Landsvirkjun - KVK]]</calculatedColumnFormula>
    </tableColumn>
    <tableColumn id="5" xr3:uid="{269F6273-CEF4-4D15-9B80-937B15C93E18}" name="Landsvirkjun - KK" dataDxfId="2">
      <calculatedColumnFormula>Table1[[#This Row],[Landsvirkjun - KK]]</calculatedColumnFormula>
    </tableColumn>
    <tableColumn id="6" xr3:uid="{32F79F1F-144C-4839-A969-00641CE3EBE3}" name="Ísland - KVK" dataDxfId="1">
      <calculatedColumnFormula>Table1[[#This Row],[Ísland - KVK]]</calculatedColumnFormula>
    </tableColumn>
    <tableColumn id="7" xr3:uid="{0DEF809E-E983-4F9B-8FCB-AFAF825C56F0}" name="Ísland - KK" dataDxfId="0">
      <calculatedColumnFormula>Table1[[#This Row],[Ísland - KK]]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282C298-97C5-4099-8F1B-28AC98F7AD3F}" name="Table3567" displayName="Table3567" ref="A56:G66" totalsRowShown="0" headerRowDxfId="241" dataDxfId="240">
  <autoFilter ref="A56:G66" xr:uid="{E282C298-97C5-4099-8F1B-28AC98F7AD3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E19ED5B5-0CF3-4B79-A2BD-CBAEDA7036E7}" name="Fastir starfsmenn Landsvirkjunar 2011"/>
    <tableColumn id="2" xr3:uid="{E5E0D70E-668D-439F-BC68-53DA1C6113BD}" name="KK" dataDxfId="239" dataCellStyle="Normal 2"/>
    <tableColumn id="3" xr3:uid="{EF714924-87EE-46D7-B291-97501F3D3094}" name="KVK" dataDxfId="238" dataCellStyle="Normal 2"/>
    <tableColumn id="4" xr3:uid="{CE500CC2-BDB9-463D-9658-96D32AD65826}" name="Alls" dataDxfId="237" dataCellStyle="Hyperlink">
      <calculatedColumnFormula>SUM(B57:C57)</calculatedColumnFormula>
    </tableColumn>
    <tableColumn id="5" xr3:uid="{DD05BFDD-5797-4582-97F0-B26F04B75891}" name="% í starfsstétt" dataDxfId="236"/>
    <tableColumn id="6" xr3:uid="{4B88AA06-DEEC-4F72-9E27-6DD7589F3DCF}" name="% konur" dataDxfId="235"/>
    <tableColumn id="7" xr3:uid="{95ADCA32-7958-4BB3-85CA-958CBA196A06}" name="% karlar" dataDxfId="23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FE07929-CBE2-4790-8CC0-F7A55325C92E}" name="Table35678" displayName="Table35678" ref="A69:G79" totalsRowShown="0" headerRowDxfId="233" dataDxfId="232">
  <autoFilter ref="A69:G79" xr:uid="{6FE07929-CBE2-4790-8CC0-F7A55325C92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6FF2B0A4-AE8F-4AF5-B79D-315B320921E0}" name="Fastir starfsmenn Landsvirkjunar 2012"/>
    <tableColumn id="2" xr3:uid="{997C996B-D8C1-47D0-BA75-06398087AE8F}" name="KK" dataDxfId="231" dataCellStyle="Normal 2"/>
    <tableColumn id="3" xr3:uid="{08EF563F-EA3F-44D6-A5C8-9FC705413834}" name="KVK" dataDxfId="230" dataCellStyle="Normal 2"/>
    <tableColumn id="4" xr3:uid="{220DD9E0-9DEC-4B7D-B7C3-430115C98DAF}" name="Alls" dataDxfId="229" dataCellStyle="Hyperlink">
      <calculatedColumnFormula>SUM(B70:C70)</calculatedColumnFormula>
    </tableColumn>
    <tableColumn id="5" xr3:uid="{4BBCB7B5-19CA-4A41-B586-42B223AF7245}" name="% í starfsstétt" dataDxfId="228"/>
    <tableColumn id="6" xr3:uid="{66C72CC6-660A-47C4-92EF-663964C3B2FE}" name="% konur" dataDxfId="227"/>
    <tableColumn id="7" xr3:uid="{74AB476C-4093-43EC-9741-EE580099D76F}" name="% karlar" dataDxfId="226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AD815AC5-BE10-47B4-9B0E-D328BF6671B9}" name="Table356789" displayName="Table356789" ref="A82:G92" totalsRowShown="0" headerRowDxfId="225" dataDxfId="224">
  <autoFilter ref="A82:G92" xr:uid="{AD815AC5-BE10-47B4-9B0E-D328BF6671B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1FAAB454-A424-40E0-91EC-D59078C48EFC}" name="Fastir starfsmenn Landsvirkjunar 2013"/>
    <tableColumn id="2" xr3:uid="{3228FDD4-D752-4DC4-A0F2-219820E4BB9E}" name="KK" dataDxfId="223" dataCellStyle="Normal 2"/>
    <tableColumn id="3" xr3:uid="{54EB74C4-54EA-4A0B-9AA7-74EC15C21CE5}" name="KVK" dataDxfId="222" dataCellStyle="Normal 2"/>
    <tableColumn id="4" xr3:uid="{6A2E04C5-DA32-48AD-B318-BEF407B15C56}" name="Alls" dataDxfId="221" dataCellStyle="Hyperlink">
      <calculatedColumnFormula>SUM(B83:C83)</calculatedColumnFormula>
    </tableColumn>
    <tableColumn id="5" xr3:uid="{410C9554-9881-4E45-8D14-6851810AE886}" name="% í starfsstétt" dataDxfId="220"/>
    <tableColumn id="6" xr3:uid="{64AE6A22-73F3-4764-A251-775C916C9923}" name="% konur" dataDxfId="219"/>
    <tableColumn id="7" xr3:uid="{8818F849-CBA8-43AA-B7C1-054AC83ADE25}" name="% karlar" dataDxfId="218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276740E3-7A10-48A6-B87D-26DD3A9AC25B}" name="Table35678910" displayName="Table35678910" ref="A95:G105" totalsRowShown="0" headerRowDxfId="217" dataDxfId="216">
  <autoFilter ref="A95:G105" xr:uid="{276740E3-7A10-48A6-B87D-26DD3A9AC25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E82EAA90-890A-4CDD-BD4C-4CC47FA04F0A}" name="Fastir starfsmenn Landsvirkjunar 2014"/>
    <tableColumn id="2" xr3:uid="{32616085-2738-43E0-BAC9-445F6FB24BCB}" name="KK" dataDxfId="215" dataCellStyle="Normal 2"/>
    <tableColumn id="3" xr3:uid="{041CBC1C-FB18-4607-9852-6A6275072358}" name="KVK" dataDxfId="214" dataCellStyle="Normal 2"/>
    <tableColumn id="4" xr3:uid="{F52A90CD-CD78-4BB6-B683-5A0968A304B1}" name="Alls" dataDxfId="213" dataCellStyle="Hyperlink">
      <calculatedColumnFormula>SUM(B96:C96)</calculatedColumnFormula>
    </tableColumn>
    <tableColumn id="5" xr3:uid="{58114C74-7B3B-407C-9988-A0508744D26D}" name="% í starfsstétt" dataDxfId="212"/>
    <tableColumn id="6" xr3:uid="{3C037CDC-054B-4E84-A244-C96BF747CBDA}" name="% konur" dataDxfId="211"/>
    <tableColumn id="7" xr3:uid="{8E83367A-2E25-4966-B4E4-A30D3AEA5603}" name="% karlar" dataDxfId="210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B30501E0-76AF-4E12-B411-36555F489761}" name="Table3567891011" displayName="Table3567891011" ref="A108:G118" totalsRowShown="0" headerRowDxfId="209" dataDxfId="208">
  <autoFilter ref="A108:G118" xr:uid="{B30501E0-76AF-4E12-B411-36555F48976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AE8811BE-1BBD-4E6B-91E0-34AD90496E7E}" name="Fastir starfsmenn Landsvirkjunar 2015"/>
    <tableColumn id="2" xr3:uid="{CB9923DE-2F61-49EE-97FA-1A47FA935E06}" name="KK" dataDxfId="207" dataCellStyle="Normal 2"/>
    <tableColumn id="3" xr3:uid="{6A1BCE58-C2D7-460D-8E78-194F99C97BBE}" name="KVK" dataDxfId="206" dataCellStyle="Normal 2"/>
    <tableColumn id="4" xr3:uid="{888D5E46-9221-432E-9600-35CAF75FC81A}" name="Alls" dataDxfId="205" dataCellStyle="Hyperlink">
      <calculatedColumnFormula>SUM(B109:C109)</calculatedColumnFormula>
    </tableColumn>
    <tableColumn id="5" xr3:uid="{56D734E4-9DFF-4570-9393-6C45B1BBBA48}" name="% í starfsstétt" dataDxfId="204"/>
    <tableColumn id="6" xr3:uid="{74E91E69-4497-40AA-8E97-5466291FE672}" name="% konur" dataDxfId="203"/>
    <tableColumn id="7" xr3:uid="{2F1EE1EE-0B82-4012-9FCA-73B6E351476D}" name="% karlar" dataDxfId="202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4E5F427C-E4E8-4A04-9A55-D45967E9D8D6}" name="Table356789101112" displayName="Table356789101112" ref="A121:G128" totalsRowShown="0" headerRowDxfId="201" dataDxfId="200">
  <autoFilter ref="A121:G128" xr:uid="{4E5F427C-E4E8-4A04-9A55-D45967E9D8D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8B0E4436-F71C-4E49-BDC7-D9C39ACACDBC}" name="Fastir starfsmenn Landsvirkjunar 2016"/>
    <tableColumn id="2" xr3:uid="{44C6AF69-8BC0-4E3F-8A79-28CAB854219A}" name="KK" dataDxfId="199" dataCellStyle="Normal 2"/>
    <tableColumn id="3" xr3:uid="{85932623-1927-419A-B67F-86AFC06CC3AC}" name="KVK" dataDxfId="198" dataCellStyle="Normal 2"/>
    <tableColumn id="4" xr3:uid="{3DCA0FFB-E3C2-4308-950D-BB4031E984B0}" name="Alls" dataDxfId="197" dataCellStyle="Hyperlink">
      <calculatedColumnFormula>SUM(B122:C122)</calculatedColumnFormula>
    </tableColumn>
    <tableColumn id="5" xr3:uid="{4625C390-C763-49C2-A06B-7888667D9854}" name="% í starfsstétt" dataDxfId="196"/>
    <tableColumn id="6" xr3:uid="{39348343-A4F4-4488-AB8E-2384AA333527}" name="% konur" dataDxfId="195"/>
    <tableColumn id="7" xr3:uid="{EE4D3FC8-457F-4E85-9247-74C6472E3241}" name="% karlar" dataDxfId="19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px.hagstofa.is/pxis/sq/3761bd8a-6eb9-481f-ba3e-72fe9a1d69da" TargetMode="External"/><Relationship Id="rId1" Type="http://schemas.openxmlformats.org/officeDocument/2006/relationships/hyperlink" Target="https://px.hagstofa.is/pxis/sq/64961b9f-28ba-4320-9bd8-7907baf15504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18" Type="http://schemas.openxmlformats.org/officeDocument/2006/relationships/table" Target="../tables/table16.xml"/><Relationship Id="rId26" Type="http://schemas.openxmlformats.org/officeDocument/2006/relationships/table" Target="../tables/table24.xml"/><Relationship Id="rId3" Type="http://schemas.openxmlformats.org/officeDocument/2006/relationships/table" Target="../tables/table1.xml"/><Relationship Id="rId21" Type="http://schemas.openxmlformats.org/officeDocument/2006/relationships/table" Target="../tables/table19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17" Type="http://schemas.openxmlformats.org/officeDocument/2006/relationships/table" Target="../tables/table15.xml"/><Relationship Id="rId25" Type="http://schemas.openxmlformats.org/officeDocument/2006/relationships/table" Target="../tables/table23.xml"/><Relationship Id="rId2" Type="http://schemas.openxmlformats.org/officeDocument/2006/relationships/vmlDrawing" Target="../drawings/vmlDrawing2.vml"/><Relationship Id="rId16" Type="http://schemas.openxmlformats.org/officeDocument/2006/relationships/table" Target="../tables/table14.xml"/><Relationship Id="rId20" Type="http://schemas.openxmlformats.org/officeDocument/2006/relationships/table" Target="../tables/table18.xml"/><Relationship Id="rId29" Type="http://schemas.openxmlformats.org/officeDocument/2006/relationships/table" Target="../tables/table27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24" Type="http://schemas.openxmlformats.org/officeDocument/2006/relationships/table" Target="../tables/table22.xml"/><Relationship Id="rId32" Type="http://schemas.openxmlformats.org/officeDocument/2006/relationships/table" Target="../tables/table30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23" Type="http://schemas.openxmlformats.org/officeDocument/2006/relationships/table" Target="../tables/table21.xml"/><Relationship Id="rId28" Type="http://schemas.openxmlformats.org/officeDocument/2006/relationships/table" Target="../tables/table26.xml"/><Relationship Id="rId10" Type="http://schemas.openxmlformats.org/officeDocument/2006/relationships/table" Target="../tables/table8.xml"/><Relationship Id="rId19" Type="http://schemas.openxmlformats.org/officeDocument/2006/relationships/table" Target="../tables/table17.xml"/><Relationship Id="rId31" Type="http://schemas.openxmlformats.org/officeDocument/2006/relationships/table" Target="../tables/table29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Relationship Id="rId22" Type="http://schemas.openxmlformats.org/officeDocument/2006/relationships/table" Target="../tables/table20.xml"/><Relationship Id="rId27" Type="http://schemas.openxmlformats.org/officeDocument/2006/relationships/table" Target="../tables/table25.xml"/><Relationship Id="rId30" Type="http://schemas.openxmlformats.org/officeDocument/2006/relationships/table" Target="../tables/table28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36.xml"/><Relationship Id="rId3" Type="http://schemas.openxmlformats.org/officeDocument/2006/relationships/table" Target="../tables/table31.xml"/><Relationship Id="rId7" Type="http://schemas.openxmlformats.org/officeDocument/2006/relationships/table" Target="../tables/table35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34.xml"/><Relationship Id="rId5" Type="http://schemas.openxmlformats.org/officeDocument/2006/relationships/table" Target="../tables/table33.xml"/><Relationship Id="rId4" Type="http://schemas.openxmlformats.org/officeDocument/2006/relationships/table" Target="../tables/table3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4BCE4-91D7-4E4E-B29A-26E7B0FCEA5E}">
  <sheetPr>
    <tabColor theme="5" tint="0.59999389629810485"/>
  </sheetPr>
  <dimension ref="A1:AE75"/>
  <sheetViews>
    <sheetView topLeftCell="A2" zoomScaleNormal="100" workbookViewId="0">
      <selection activeCell="U5" sqref="U5"/>
    </sheetView>
  </sheetViews>
  <sheetFormatPr defaultColWidth="9.28515625" defaultRowHeight="15" x14ac:dyDescent="0.25"/>
  <cols>
    <col min="1" max="1" width="23" style="1" bestFit="1" customWidth="1"/>
    <col min="2" max="2" width="23.140625" style="1" customWidth="1"/>
    <col min="3" max="25" width="9.28515625" style="1"/>
    <col min="26" max="26" width="12.42578125" style="1" bestFit="1" customWidth="1"/>
    <col min="27" max="28" width="12" style="1" bestFit="1" customWidth="1"/>
    <col min="29" max="16384" width="9.28515625" style="1"/>
  </cols>
  <sheetData>
    <row r="1" spans="1:31" s="4" customFormat="1" ht="21" x14ac:dyDescent="0.35">
      <c r="A1" s="6" t="s">
        <v>0</v>
      </c>
      <c r="B1" s="6"/>
      <c r="C1" s="6"/>
      <c r="D1" s="6"/>
      <c r="E1" s="6"/>
      <c r="F1" s="6"/>
      <c r="G1" s="138"/>
      <c r="H1" s="138"/>
      <c r="I1" s="138"/>
      <c r="J1" s="138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31" ht="15" customHeight="1" x14ac:dyDescent="0.25">
      <c r="A2" s="5"/>
      <c r="B2" s="5"/>
      <c r="C2" s="5"/>
      <c r="D2" s="5"/>
      <c r="E2" s="5"/>
      <c r="F2" s="5"/>
      <c r="G2" s="2"/>
      <c r="H2" s="2"/>
      <c r="I2" s="2"/>
      <c r="J2" s="2"/>
      <c r="K2" s="5"/>
      <c r="L2" s="5"/>
      <c r="M2" s="5"/>
      <c r="N2" s="2"/>
      <c r="O2" s="2"/>
      <c r="P2" s="2"/>
      <c r="Q2" s="2"/>
      <c r="R2" s="2"/>
      <c r="S2" s="2"/>
      <c r="T2" s="2"/>
    </row>
    <row r="3" spans="1:31" x14ac:dyDescent="0.25">
      <c r="A3" s="8" t="s">
        <v>1</v>
      </c>
      <c r="B3"/>
      <c r="C3"/>
      <c r="D3" s="8"/>
      <c r="E3" s="8"/>
      <c r="F3"/>
      <c r="K3" s="3"/>
      <c r="L3" s="3"/>
      <c r="M3" s="3"/>
    </row>
    <row r="4" spans="1:31" ht="15" customHeight="1" x14ac:dyDescent="0.25">
      <c r="A4" s="8" t="s">
        <v>2</v>
      </c>
      <c r="B4" s="9" t="s">
        <v>117</v>
      </c>
      <c r="C4" s="9"/>
      <c r="D4" s="9"/>
      <c r="E4" s="9"/>
      <c r="F4" s="9"/>
      <c r="G4" s="9"/>
    </row>
    <row r="5" spans="1:31" ht="15" customHeight="1" x14ac:dyDescent="0.25">
      <c r="A5" s="8" t="s">
        <v>3</v>
      </c>
      <c r="B5" s="9" t="s">
        <v>118</v>
      </c>
      <c r="C5" s="9"/>
      <c r="D5" s="9"/>
      <c r="E5" s="9"/>
      <c r="F5" s="9"/>
      <c r="G5" s="9"/>
    </row>
    <row r="6" spans="1:31" x14ac:dyDescent="0.25">
      <c r="A6" s="31" t="s">
        <v>119</v>
      </c>
      <c r="B6" s="31"/>
      <c r="C6" s="31"/>
      <c r="D6" s="31"/>
      <c r="E6" s="31"/>
      <c r="F6" s="31"/>
      <c r="G6" s="31"/>
    </row>
    <row r="7" spans="1:31" x14ac:dyDescent="0.25">
      <c r="A7" s="10" t="s">
        <v>4</v>
      </c>
    </row>
    <row r="8" spans="1:31" x14ac:dyDescent="0.25">
      <c r="A8" s="10" t="s">
        <v>5</v>
      </c>
    </row>
    <row r="10" spans="1:31" x14ac:dyDescent="0.25">
      <c r="B10" s="11"/>
      <c r="C10" s="11"/>
      <c r="D10" s="12" t="s">
        <v>6</v>
      </c>
      <c r="E10" s="12" t="s">
        <v>7</v>
      </c>
      <c r="F10" s="12" t="s">
        <v>8</v>
      </c>
      <c r="G10" s="12" t="s">
        <v>9</v>
      </c>
      <c r="H10" s="12" t="s">
        <v>10</v>
      </c>
      <c r="I10" s="12" t="s">
        <v>11</v>
      </c>
      <c r="J10" s="12" t="s">
        <v>12</v>
      </c>
      <c r="K10" s="12" t="s">
        <v>13</v>
      </c>
      <c r="L10" s="12" t="s">
        <v>14</v>
      </c>
      <c r="M10" s="12" t="s">
        <v>15</v>
      </c>
      <c r="N10" s="12" t="s">
        <v>16</v>
      </c>
      <c r="O10" s="12" t="s">
        <v>17</v>
      </c>
      <c r="P10" s="12" t="s">
        <v>18</v>
      </c>
      <c r="Q10" s="12" t="s">
        <v>19</v>
      </c>
      <c r="R10" s="12" t="s">
        <v>20</v>
      </c>
      <c r="S10" s="12" t="s">
        <v>21</v>
      </c>
      <c r="T10" s="12" t="s">
        <v>22</v>
      </c>
      <c r="U10" s="12" t="s">
        <v>23</v>
      </c>
      <c r="Z10" s="20"/>
      <c r="AA10" s="20"/>
      <c r="AB10" s="20"/>
      <c r="AC10" s="20"/>
      <c r="AD10" s="20"/>
      <c r="AE10" s="20"/>
    </row>
    <row r="11" spans="1:31" x14ac:dyDescent="0.25">
      <c r="B11" s="12" t="s">
        <v>24</v>
      </c>
      <c r="C11" s="12" t="s">
        <v>25</v>
      </c>
      <c r="D11" s="13">
        <v>153400</v>
      </c>
      <c r="E11" s="13">
        <v>158600</v>
      </c>
      <c r="F11" s="13">
        <v>165400</v>
      </c>
      <c r="G11" s="13">
        <v>172500</v>
      </c>
      <c r="H11" s="13">
        <v>173700</v>
      </c>
      <c r="I11" s="13">
        <v>162800</v>
      </c>
      <c r="J11" s="13">
        <v>162300</v>
      </c>
      <c r="K11" s="13">
        <v>163000</v>
      </c>
      <c r="L11" s="13">
        <v>165300</v>
      </c>
      <c r="M11" s="13">
        <v>170900</v>
      </c>
      <c r="N11" s="13">
        <v>173500</v>
      </c>
      <c r="O11" s="13">
        <v>180300</v>
      </c>
      <c r="P11" s="13">
        <v>187800</v>
      </c>
      <c r="Q11" s="13">
        <v>189700</v>
      </c>
      <c r="R11" s="13">
        <v>193200</v>
      </c>
      <c r="S11" s="13">
        <v>195000</v>
      </c>
      <c r="T11" s="13">
        <v>189200</v>
      </c>
      <c r="U11" s="13">
        <v>195900</v>
      </c>
      <c r="Z11" s="20"/>
      <c r="AA11" s="20"/>
      <c r="AB11" s="20"/>
      <c r="AC11" s="20"/>
      <c r="AD11" s="20"/>
      <c r="AE11" s="20"/>
    </row>
    <row r="12" spans="1:31" x14ac:dyDescent="0.25">
      <c r="B12" s="11"/>
      <c r="C12" s="12" t="s">
        <v>26</v>
      </c>
      <c r="D12" s="13">
        <v>11500</v>
      </c>
      <c r="E12" s="13">
        <v>11700</v>
      </c>
      <c r="F12" s="13">
        <v>13900</v>
      </c>
      <c r="G12" s="13">
        <v>15900</v>
      </c>
      <c r="H12" s="13">
        <v>16500</v>
      </c>
      <c r="I12" s="13">
        <v>16200</v>
      </c>
      <c r="J12" s="13">
        <v>14100</v>
      </c>
      <c r="K12" s="13">
        <v>14500</v>
      </c>
      <c r="L12" s="13">
        <v>16600</v>
      </c>
      <c r="M12" s="13">
        <v>18300</v>
      </c>
      <c r="N12" s="13">
        <v>16500</v>
      </c>
      <c r="O12" s="13">
        <v>16600</v>
      </c>
      <c r="P12" s="13">
        <v>18400</v>
      </c>
      <c r="Q12" s="13">
        <v>18600</v>
      </c>
      <c r="R12" s="13">
        <v>18800</v>
      </c>
      <c r="S12" s="13">
        <v>20600</v>
      </c>
      <c r="T12" s="13">
        <v>23400</v>
      </c>
      <c r="U12" s="13">
        <v>25100</v>
      </c>
      <c r="Z12" s="20"/>
      <c r="AA12" s="20"/>
      <c r="AB12" s="20"/>
      <c r="AC12" s="20"/>
      <c r="AD12" s="20"/>
      <c r="AE12" s="20"/>
    </row>
    <row r="13" spans="1:31" x14ac:dyDescent="0.25">
      <c r="B13" s="11"/>
      <c r="C13" s="12" t="s">
        <v>27</v>
      </c>
      <c r="D13" s="13">
        <v>23700</v>
      </c>
      <c r="E13" s="13">
        <v>27100</v>
      </c>
      <c r="F13" s="13">
        <v>28600</v>
      </c>
      <c r="G13" s="13">
        <v>29300</v>
      </c>
      <c r="H13" s="13">
        <v>33700</v>
      </c>
      <c r="I13" s="13">
        <v>32800</v>
      </c>
      <c r="J13" s="13">
        <v>33000</v>
      </c>
      <c r="K13" s="13">
        <v>33700</v>
      </c>
      <c r="L13" s="13">
        <v>34900</v>
      </c>
      <c r="M13" s="13">
        <v>34700</v>
      </c>
      <c r="N13" s="13">
        <v>36400</v>
      </c>
      <c r="O13" s="13">
        <v>39400</v>
      </c>
      <c r="P13" s="13">
        <v>41600</v>
      </c>
      <c r="Q13" s="13">
        <v>40400</v>
      </c>
      <c r="R13" s="13">
        <v>42300</v>
      </c>
      <c r="S13" s="13">
        <v>43100</v>
      </c>
      <c r="T13" s="13">
        <v>41800</v>
      </c>
      <c r="U13" s="13">
        <v>44400</v>
      </c>
      <c r="Z13" s="20"/>
      <c r="AA13" s="20"/>
      <c r="AB13" s="20"/>
      <c r="AC13" s="20"/>
      <c r="AD13" s="20"/>
      <c r="AE13" s="20"/>
    </row>
    <row r="14" spans="1:31" x14ac:dyDescent="0.25">
      <c r="B14" s="11"/>
      <c r="C14" s="12" t="s">
        <v>28</v>
      </c>
      <c r="D14" s="13">
        <v>24700</v>
      </c>
      <c r="E14" s="13">
        <v>25100</v>
      </c>
      <c r="F14" s="13">
        <v>25200</v>
      </c>
      <c r="G14" s="13">
        <v>27200</v>
      </c>
      <c r="H14" s="13">
        <v>28400</v>
      </c>
      <c r="I14" s="13">
        <v>28000</v>
      </c>
      <c r="J14" s="13">
        <v>28400</v>
      </c>
      <c r="K14" s="13">
        <v>25400</v>
      </c>
      <c r="L14" s="13">
        <v>25200</v>
      </c>
      <c r="M14" s="13">
        <v>25800</v>
      </c>
      <c r="N14" s="13">
        <v>25100</v>
      </c>
      <c r="O14" s="13">
        <v>26100</v>
      </c>
      <c r="P14" s="13">
        <v>28100</v>
      </c>
      <c r="Q14" s="13">
        <v>28700</v>
      </c>
      <c r="R14" s="13">
        <v>27800</v>
      </c>
      <c r="S14" s="13">
        <v>26100</v>
      </c>
      <c r="T14" s="13">
        <v>27300</v>
      </c>
      <c r="U14" s="13">
        <v>30700</v>
      </c>
      <c r="Z14" s="20"/>
      <c r="AA14" s="20"/>
      <c r="AB14" s="20"/>
      <c r="AC14" s="20"/>
      <c r="AD14" s="20"/>
      <c r="AE14" s="20"/>
    </row>
    <row r="15" spans="1:31" x14ac:dyDescent="0.25">
      <c r="B15" s="11"/>
      <c r="C15" s="12" t="s">
        <v>29</v>
      </c>
      <c r="D15" s="13">
        <v>11100</v>
      </c>
      <c r="E15" s="13">
        <v>12200</v>
      </c>
      <c r="F15" s="13">
        <v>12200</v>
      </c>
      <c r="G15" s="13">
        <v>11400</v>
      </c>
      <c r="H15" s="13">
        <v>10100</v>
      </c>
      <c r="I15" s="13">
        <v>9100</v>
      </c>
      <c r="J15" s="13">
        <v>8400</v>
      </c>
      <c r="K15" s="13">
        <v>7700</v>
      </c>
      <c r="L15" s="13">
        <v>7300</v>
      </c>
      <c r="M15" s="13">
        <v>6600</v>
      </c>
      <c r="N15" s="13">
        <v>6800</v>
      </c>
      <c r="O15" s="13">
        <v>6900</v>
      </c>
      <c r="P15" s="13">
        <v>8600</v>
      </c>
      <c r="Q15" s="13">
        <v>10100</v>
      </c>
      <c r="R15" s="13">
        <v>9200</v>
      </c>
      <c r="S15" s="13">
        <v>9400</v>
      </c>
      <c r="T15" s="13">
        <v>8000</v>
      </c>
      <c r="U15" s="13">
        <v>7500</v>
      </c>
      <c r="Z15" s="20"/>
      <c r="AA15" s="20"/>
      <c r="AB15" s="20"/>
      <c r="AC15" s="20"/>
      <c r="AD15" s="20"/>
      <c r="AE15" s="20"/>
    </row>
    <row r="16" spans="1:31" x14ac:dyDescent="0.25">
      <c r="B16" s="11"/>
      <c r="C16" s="12" t="s">
        <v>30</v>
      </c>
      <c r="D16" s="13">
        <v>29300</v>
      </c>
      <c r="E16" s="13">
        <v>31700</v>
      </c>
      <c r="F16" s="13">
        <v>32700</v>
      </c>
      <c r="G16" s="13">
        <v>35700</v>
      </c>
      <c r="H16" s="13">
        <v>34100</v>
      </c>
      <c r="I16" s="13">
        <v>31600</v>
      </c>
      <c r="J16" s="13">
        <v>33400</v>
      </c>
      <c r="K16" s="13">
        <v>35900</v>
      </c>
      <c r="L16" s="13">
        <v>35500</v>
      </c>
      <c r="M16" s="13">
        <v>38500</v>
      </c>
      <c r="N16" s="13">
        <v>39800</v>
      </c>
      <c r="O16" s="13">
        <v>41800</v>
      </c>
      <c r="P16" s="13">
        <v>41900</v>
      </c>
      <c r="Q16" s="13">
        <v>42700</v>
      </c>
      <c r="R16" s="13">
        <v>46600</v>
      </c>
      <c r="S16" s="13">
        <v>47100</v>
      </c>
      <c r="T16" s="13">
        <v>42000</v>
      </c>
      <c r="U16" s="13">
        <v>42000</v>
      </c>
      <c r="Z16" s="20"/>
      <c r="AA16" s="20"/>
      <c r="AB16" s="20"/>
      <c r="AC16" s="20"/>
      <c r="AD16" s="20"/>
      <c r="AE16" s="20"/>
    </row>
    <row r="17" spans="2:31" x14ac:dyDescent="0.25">
      <c r="B17" s="11"/>
      <c r="C17" s="12" t="s">
        <v>31</v>
      </c>
      <c r="D17" s="13">
        <v>7300</v>
      </c>
      <c r="E17" s="13">
        <v>8200</v>
      </c>
      <c r="F17" s="13">
        <v>8300</v>
      </c>
      <c r="G17" s="13">
        <v>7300</v>
      </c>
      <c r="H17" s="13">
        <v>6700</v>
      </c>
      <c r="I17" s="13">
        <v>6600</v>
      </c>
      <c r="J17" s="13">
        <v>7500</v>
      </c>
      <c r="K17" s="13">
        <v>8000</v>
      </c>
      <c r="L17" s="13">
        <v>7400</v>
      </c>
      <c r="M17" s="13">
        <v>6700</v>
      </c>
      <c r="N17" s="13">
        <v>7000</v>
      </c>
      <c r="O17" s="13">
        <v>6500</v>
      </c>
      <c r="P17" s="13">
        <v>6200</v>
      </c>
      <c r="Q17" s="13">
        <v>5800</v>
      </c>
      <c r="R17" s="13">
        <v>5700</v>
      </c>
      <c r="S17" s="13">
        <v>6200</v>
      </c>
      <c r="T17" s="13">
        <v>6400</v>
      </c>
      <c r="U17" s="13">
        <v>5500</v>
      </c>
      <c r="Z17" s="20"/>
      <c r="AA17" s="20"/>
      <c r="AB17" s="20"/>
      <c r="AC17" s="20"/>
      <c r="AD17" s="20"/>
      <c r="AE17" s="20"/>
    </row>
    <row r="18" spans="2:31" x14ac:dyDescent="0.25">
      <c r="B18" s="11"/>
      <c r="C18" s="12" t="s">
        <v>32</v>
      </c>
      <c r="D18" s="13">
        <v>21100</v>
      </c>
      <c r="E18" s="13">
        <v>20400</v>
      </c>
      <c r="F18" s="13">
        <v>21700</v>
      </c>
      <c r="G18" s="13">
        <v>21300</v>
      </c>
      <c r="H18" s="13">
        <v>21700</v>
      </c>
      <c r="I18" s="13">
        <v>18900</v>
      </c>
      <c r="J18" s="13">
        <v>19800</v>
      </c>
      <c r="K18" s="13">
        <v>20200</v>
      </c>
      <c r="L18" s="13">
        <v>19200</v>
      </c>
      <c r="M18" s="13">
        <v>20100</v>
      </c>
      <c r="N18" s="13">
        <v>20000</v>
      </c>
      <c r="O18" s="13">
        <v>20700</v>
      </c>
      <c r="P18" s="13">
        <v>20300</v>
      </c>
      <c r="Q18" s="13">
        <v>20800</v>
      </c>
      <c r="R18" s="13">
        <v>21400</v>
      </c>
      <c r="S18" s="13">
        <v>20600</v>
      </c>
      <c r="T18" s="13">
        <v>19500</v>
      </c>
      <c r="U18" s="13">
        <v>20800</v>
      </c>
      <c r="Z18" s="20"/>
      <c r="AA18" s="20"/>
      <c r="AB18" s="20"/>
      <c r="AC18" s="20"/>
      <c r="AD18" s="20"/>
      <c r="AE18" s="20"/>
    </row>
    <row r="19" spans="2:31" x14ac:dyDescent="0.25">
      <c r="B19" s="11"/>
      <c r="C19" s="12" t="s">
        <v>33</v>
      </c>
      <c r="D19" s="13">
        <v>9900</v>
      </c>
      <c r="E19" s="13">
        <v>9500</v>
      </c>
      <c r="F19" s="13">
        <v>9300</v>
      </c>
      <c r="G19" s="13">
        <v>9500</v>
      </c>
      <c r="H19" s="13">
        <v>9300</v>
      </c>
      <c r="I19" s="13">
        <v>8500</v>
      </c>
      <c r="J19" s="13">
        <v>7600</v>
      </c>
      <c r="K19" s="13">
        <v>8000</v>
      </c>
      <c r="L19" s="13">
        <v>7800</v>
      </c>
      <c r="M19" s="13">
        <v>8300</v>
      </c>
      <c r="N19" s="13">
        <v>8300</v>
      </c>
      <c r="O19" s="13">
        <v>9100</v>
      </c>
      <c r="P19" s="13">
        <v>9300</v>
      </c>
      <c r="Q19" s="13">
        <v>10400</v>
      </c>
      <c r="R19" s="13">
        <v>10100</v>
      </c>
      <c r="S19" s="13">
        <v>10300</v>
      </c>
      <c r="T19" s="13">
        <v>9800</v>
      </c>
      <c r="U19" s="13">
        <v>8800</v>
      </c>
      <c r="AA19" s="20"/>
      <c r="AB19" s="20"/>
      <c r="AD19" s="20"/>
      <c r="AE19" s="20"/>
    </row>
    <row r="20" spans="2:31" x14ac:dyDescent="0.25">
      <c r="B20" s="11"/>
      <c r="C20" s="12" t="s">
        <v>34</v>
      </c>
      <c r="D20" s="13">
        <v>14800</v>
      </c>
      <c r="E20" s="13">
        <v>12700</v>
      </c>
      <c r="F20" s="13">
        <v>13400</v>
      </c>
      <c r="G20" s="13">
        <v>14700</v>
      </c>
      <c r="H20" s="13">
        <v>13200</v>
      </c>
      <c r="I20" s="13">
        <v>11100</v>
      </c>
      <c r="J20" s="13">
        <v>10100</v>
      </c>
      <c r="K20" s="13">
        <v>9700</v>
      </c>
      <c r="L20" s="13">
        <v>11300</v>
      </c>
      <c r="M20" s="13">
        <v>11900</v>
      </c>
      <c r="N20" s="13">
        <v>13600</v>
      </c>
      <c r="O20" s="13">
        <v>13400</v>
      </c>
      <c r="P20" s="13">
        <v>13400</v>
      </c>
      <c r="Q20" s="13">
        <v>12300</v>
      </c>
      <c r="R20" s="13">
        <v>11300</v>
      </c>
      <c r="S20" s="13">
        <v>11400</v>
      </c>
      <c r="T20" s="13">
        <v>11000</v>
      </c>
      <c r="U20" s="13">
        <v>11200</v>
      </c>
    </row>
    <row r="21" spans="2:31" x14ac:dyDescent="0.25">
      <c r="B21" s="12" t="s">
        <v>35</v>
      </c>
      <c r="C21" s="12" t="s">
        <v>25</v>
      </c>
      <c r="D21" s="13">
        <v>81600</v>
      </c>
      <c r="E21" s="13">
        <v>84500</v>
      </c>
      <c r="F21" s="13">
        <v>89800</v>
      </c>
      <c r="G21" s="13">
        <v>94300</v>
      </c>
      <c r="H21" s="13">
        <v>94700</v>
      </c>
      <c r="I21" s="13">
        <v>85800</v>
      </c>
      <c r="J21" s="13">
        <v>85000</v>
      </c>
      <c r="K21" s="13">
        <v>85400</v>
      </c>
      <c r="L21" s="13">
        <v>86200</v>
      </c>
      <c r="M21" s="13">
        <v>89200</v>
      </c>
      <c r="N21" s="13">
        <v>91300</v>
      </c>
      <c r="O21" s="13">
        <v>95100</v>
      </c>
      <c r="P21" s="13">
        <v>100100</v>
      </c>
      <c r="Q21" s="13">
        <v>101800</v>
      </c>
      <c r="R21" s="13">
        <v>104600</v>
      </c>
      <c r="S21" s="13">
        <v>105400</v>
      </c>
      <c r="T21" s="13">
        <v>102500</v>
      </c>
      <c r="U21" s="13">
        <v>106000</v>
      </c>
    </row>
    <row r="22" spans="2:31" x14ac:dyDescent="0.25">
      <c r="B22" s="11"/>
      <c r="C22" s="12" t="s">
        <v>26</v>
      </c>
      <c r="D22" s="13">
        <v>8000</v>
      </c>
      <c r="E22" s="13">
        <v>8600</v>
      </c>
      <c r="F22" s="13">
        <v>9900</v>
      </c>
      <c r="G22" s="13">
        <v>11200</v>
      </c>
      <c r="H22" s="13">
        <v>11100</v>
      </c>
      <c r="I22" s="13">
        <v>10800</v>
      </c>
      <c r="J22" s="13">
        <v>9300</v>
      </c>
      <c r="K22" s="13">
        <v>9000</v>
      </c>
      <c r="L22" s="13">
        <v>10300</v>
      </c>
      <c r="M22" s="13">
        <v>11600</v>
      </c>
      <c r="N22" s="13">
        <v>10500</v>
      </c>
      <c r="O22" s="13">
        <v>10500</v>
      </c>
      <c r="P22" s="13">
        <v>12300</v>
      </c>
      <c r="Q22" s="13">
        <v>13000</v>
      </c>
      <c r="R22" s="13">
        <v>11400</v>
      </c>
      <c r="S22" s="13">
        <v>12300</v>
      </c>
      <c r="T22" s="13">
        <v>14700</v>
      </c>
      <c r="U22" s="13">
        <v>15800</v>
      </c>
    </row>
    <row r="23" spans="2:31" x14ac:dyDescent="0.25">
      <c r="B23" s="11"/>
      <c r="C23" s="12" t="s">
        <v>27</v>
      </c>
      <c r="D23" s="13">
        <v>11300</v>
      </c>
      <c r="E23" s="13">
        <v>12900</v>
      </c>
      <c r="F23" s="13">
        <v>13900</v>
      </c>
      <c r="G23" s="13">
        <v>14500</v>
      </c>
      <c r="H23" s="13">
        <v>16400</v>
      </c>
      <c r="I23" s="13">
        <v>14700</v>
      </c>
      <c r="J23" s="13">
        <v>13200</v>
      </c>
      <c r="K23" s="13">
        <v>13800</v>
      </c>
      <c r="L23" s="13">
        <v>13900</v>
      </c>
      <c r="M23" s="13">
        <v>14100</v>
      </c>
      <c r="N23" s="13">
        <v>14900</v>
      </c>
      <c r="O23" s="13">
        <v>15700</v>
      </c>
      <c r="P23" s="13">
        <v>17500</v>
      </c>
      <c r="Q23" s="13">
        <v>16700</v>
      </c>
      <c r="R23" s="13">
        <v>18100</v>
      </c>
      <c r="S23" s="13">
        <v>18100</v>
      </c>
      <c r="T23" s="13">
        <v>17900</v>
      </c>
      <c r="U23" s="13">
        <v>17800</v>
      </c>
    </row>
    <row r="24" spans="2:31" x14ac:dyDescent="0.25">
      <c r="B24" s="11"/>
      <c r="C24" s="12" t="s">
        <v>28</v>
      </c>
      <c r="D24" s="13">
        <v>10800</v>
      </c>
      <c r="E24" s="13">
        <v>10900</v>
      </c>
      <c r="F24" s="13">
        <v>9900</v>
      </c>
      <c r="G24" s="13">
        <v>10600</v>
      </c>
      <c r="H24" s="13">
        <v>10700</v>
      </c>
      <c r="I24" s="13">
        <v>10800</v>
      </c>
      <c r="J24" s="13">
        <v>12100</v>
      </c>
      <c r="K24" s="13">
        <v>11200</v>
      </c>
      <c r="L24" s="13">
        <v>11600</v>
      </c>
      <c r="M24" s="13">
        <v>11800</v>
      </c>
      <c r="N24" s="13">
        <v>11000</v>
      </c>
      <c r="O24" s="13">
        <v>11700</v>
      </c>
      <c r="P24" s="13">
        <v>13100</v>
      </c>
      <c r="Q24" s="13">
        <v>12800</v>
      </c>
      <c r="R24" s="13">
        <v>12600</v>
      </c>
      <c r="S24" s="13">
        <v>12900</v>
      </c>
      <c r="T24" s="13">
        <v>13600</v>
      </c>
      <c r="U24" s="13">
        <v>15100</v>
      </c>
    </row>
    <row r="25" spans="2:31" x14ac:dyDescent="0.25">
      <c r="B25" s="11"/>
      <c r="C25" s="12" t="s">
        <v>29</v>
      </c>
      <c r="D25" s="13">
        <v>1400</v>
      </c>
      <c r="E25" s="13">
        <v>1900</v>
      </c>
      <c r="F25" s="13">
        <v>2300</v>
      </c>
      <c r="G25" s="13">
        <v>1700</v>
      </c>
      <c r="H25" s="13">
        <v>2100</v>
      </c>
      <c r="I25" s="13">
        <v>1600</v>
      </c>
      <c r="J25" s="13">
        <v>1600</v>
      </c>
      <c r="K25" s="13">
        <v>1600</v>
      </c>
      <c r="L25" s="13">
        <v>1600</v>
      </c>
      <c r="M25" s="13">
        <v>1200</v>
      </c>
      <c r="N25" s="13">
        <v>1200</v>
      </c>
      <c r="O25" s="13">
        <v>1100</v>
      </c>
      <c r="P25" s="13">
        <v>1600</v>
      </c>
      <c r="Q25" s="13">
        <v>2000</v>
      </c>
      <c r="R25" s="13">
        <v>2100</v>
      </c>
      <c r="S25" s="13">
        <v>2000</v>
      </c>
      <c r="T25" s="13">
        <v>1500</v>
      </c>
      <c r="U25" s="13">
        <v>2100</v>
      </c>
    </row>
    <row r="26" spans="2:31" x14ac:dyDescent="0.25">
      <c r="B26" s="11"/>
      <c r="C26" s="12" t="s">
        <v>30</v>
      </c>
      <c r="D26" s="13">
        <v>9600</v>
      </c>
      <c r="E26" s="13">
        <v>10800</v>
      </c>
      <c r="F26" s="13">
        <v>11800</v>
      </c>
      <c r="G26" s="13">
        <v>13500</v>
      </c>
      <c r="H26" s="13">
        <v>13400</v>
      </c>
      <c r="I26" s="13">
        <v>12600</v>
      </c>
      <c r="J26" s="13">
        <v>12800</v>
      </c>
      <c r="K26" s="13">
        <v>12800</v>
      </c>
      <c r="L26" s="13">
        <v>13100</v>
      </c>
      <c r="M26" s="13">
        <v>14500</v>
      </c>
      <c r="N26" s="13">
        <v>16100</v>
      </c>
      <c r="O26" s="13">
        <v>16500</v>
      </c>
      <c r="P26" s="13">
        <v>16700</v>
      </c>
      <c r="Q26" s="13">
        <v>17800</v>
      </c>
      <c r="R26" s="13">
        <v>20100</v>
      </c>
      <c r="S26" s="13">
        <v>19600</v>
      </c>
      <c r="T26" s="13">
        <v>16400</v>
      </c>
      <c r="U26" s="13">
        <v>17000</v>
      </c>
    </row>
    <row r="27" spans="2:31" x14ac:dyDescent="0.25">
      <c r="B27" s="11"/>
      <c r="C27" s="12" t="s">
        <v>31</v>
      </c>
      <c r="D27" s="13">
        <v>5700</v>
      </c>
      <c r="E27" s="13">
        <v>6400</v>
      </c>
      <c r="F27" s="13">
        <v>6700</v>
      </c>
      <c r="G27" s="13">
        <v>5900</v>
      </c>
      <c r="H27" s="13">
        <v>5400</v>
      </c>
      <c r="I27" s="13">
        <v>5400</v>
      </c>
      <c r="J27" s="13">
        <v>6000</v>
      </c>
      <c r="K27" s="13">
        <v>7000</v>
      </c>
      <c r="L27" s="13">
        <v>6200</v>
      </c>
      <c r="M27" s="13">
        <v>5100</v>
      </c>
      <c r="N27" s="13">
        <v>5500</v>
      </c>
      <c r="O27" s="13">
        <v>5500</v>
      </c>
      <c r="P27" s="13">
        <v>5000</v>
      </c>
      <c r="Q27" s="13">
        <v>4700</v>
      </c>
      <c r="R27" s="13">
        <v>4900</v>
      </c>
      <c r="S27" s="13">
        <v>5200</v>
      </c>
      <c r="T27" s="13">
        <v>5300</v>
      </c>
      <c r="U27" s="13">
        <v>4500</v>
      </c>
    </row>
    <row r="28" spans="2:31" x14ac:dyDescent="0.25">
      <c r="B28" s="11"/>
      <c r="C28" s="12" t="s">
        <v>32</v>
      </c>
      <c r="D28" s="13">
        <v>18400</v>
      </c>
      <c r="E28" s="13">
        <v>17800</v>
      </c>
      <c r="F28" s="13">
        <v>19300</v>
      </c>
      <c r="G28" s="13">
        <v>19200</v>
      </c>
      <c r="H28" s="13">
        <v>19900</v>
      </c>
      <c r="I28" s="13">
        <v>17000</v>
      </c>
      <c r="J28" s="13">
        <v>18000</v>
      </c>
      <c r="K28" s="13">
        <v>17900</v>
      </c>
      <c r="L28" s="13">
        <v>16600</v>
      </c>
      <c r="M28" s="13">
        <v>17300</v>
      </c>
      <c r="N28" s="13">
        <v>17600</v>
      </c>
      <c r="O28" s="13">
        <v>18700</v>
      </c>
      <c r="P28" s="13">
        <v>17800</v>
      </c>
      <c r="Q28" s="13">
        <v>18400</v>
      </c>
      <c r="R28" s="13">
        <v>19200</v>
      </c>
      <c r="S28" s="13">
        <v>18900</v>
      </c>
      <c r="T28" s="13">
        <v>18100</v>
      </c>
      <c r="U28" s="13">
        <v>19100</v>
      </c>
      <c r="X28" s="12"/>
    </row>
    <row r="29" spans="2:31" x14ac:dyDescent="0.25">
      <c r="B29" s="11"/>
      <c r="C29" s="12" t="s">
        <v>33</v>
      </c>
      <c r="D29" s="13">
        <v>8900</v>
      </c>
      <c r="E29" s="13">
        <v>8700</v>
      </c>
      <c r="F29" s="13">
        <v>8700</v>
      </c>
      <c r="G29" s="13">
        <v>9000</v>
      </c>
      <c r="H29" s="13">
        <v>8600</v>
      </c>
      <c r="I29" s="13">
        <v>7500</v>
      </c>
      <c r="J29" s="13">
        <v>6800</v>
      </c>
      <c r="K29" s="13">
        <v>6900</v>
      </c>
      <c r="L29" s="13">
        <v>7000</v>
      </c>
      <c r="M29" s="13">
        <v>7300</v>
      </c>
      <c r="N29" s="13">
        <v>7400</v>
      </c>
      <c r="O29" s="13">
        <v>8300</v>
      </c>
      <c r="P29" s="13">
        <v>8600</v>
      </c>
      <c r="Q29" s="13">
        <v>9400</v>
      </c>
      <c r="R29" s="13">
        <v>9200</v>
      </c>
      <c r="S29" s="13">
        <v>9600</v>
      </c>
      <c r="T29" s="13">
        <v>8800</v>
      </c>
      <c r="U29" s="13">
        <v>7800</v>
      </c>
      <c r="X29" s="12"/>
    </row>
    <row r="30" spans="2:31" x14ac:dyDescent="0.25">
      <c r="B30" s="11"/>
      <c r="C30" s="12" t="s">
        <v>34</v>
      </c>
      <c r="D30" s="13">
        <v>7400</v>
      </c>
      <c r="E30" s="13">
        <v>6500</v>
      </c>
      <c r="F30" s="13">
        <v>7400</v>
      </c>
      <c r="G30" s="13">
        <v>8700</v>
      </c>
      <c r="H30" s="13">
        <v>7200</v>
      </c>
      <c r="I30" s="13">
        <v>5300</v>
      </c>
      <c r="J30" s="13">
        <v>5200</v>
      </c>
      <c r="K30" s="13">
        <v>5200</v>
      </c>
      <c r="L30" s="13">
        <v>6000</v>
      </c>
      <c r="M30" s="13">
        <v>6400</v>
      </c>
      <c r="N30" s="13">
        <v>7100</v>
      </c>
      <c r="O30" s="13">
        <v>7100</v>
      </c>
      <c r="P30" s="13">
        <v>7500</v>
      </c>
      <c r="Q30" s="13">
        <v>7000</v>
      </c>
      <c r="R30" s="13">
        <v>7000</v>
      </c>
      <c r="S30" s="13">
        <v>6800</v>
      </c>
      <c r="T30" s="13">
        <v>6200</v>
      </c>
      <c r="U30" s="13">
        <v>6900</v>
      </c>
      <c r="X30" s="12"/>
    </row>
    <row r="31" spans="2:31" x14ac:dyDescent="0.25">
      <c r="B31" s="12" t="s">
        <v>36</v>
      </c>
      <c r="C31" s="12" t="s">
        <v>25</v>
      </c>
      <c r="D31" s="13">
        <v>71800</v>
      </c>
      <c r="E31" s="13">
        <v>74100</v>
      </c>
      <c r="F31" s="13">
        <v>75600</v>
      </c>
      <c r="G31" s="13">
        <v>78100</v>
      </c>
      <c r="H31" s="13">
        <v>79000</v>
      </c>
      <c r="I31" s="13">
        <v>77000</v>
      </c>
      <c r="J31" s="13">
        <v>77200</v>
      </c>
      <c r="K31" s="13">
        <v>77700</v>
      </c>
      <c r="L31" s="13">
        <v>79100</v>
      </c>
      <c r="M31" s="13">
        <v>81700</v>
      </c>
      <c r="N31" s="13">
        <v>82200</v>
      </c>
      <c r="O31" s="13">
        <v>85200</v>
      </c>
      <c r="P31" s="13">
        <v>87700</v>
      </c>
      <c r="Q31" s="13">
        <v>87900</v>
      </c>
      <c r="R31" s="13">
        <v>88600</v>
      </c>
      <c r="S31" s="13">
        <v>89600</v>
      </c>
      <c r="T31" s="13">
        <v>86700</v>
      </c>
      <c r="U31" s="13">
        <v>89900</v>
      </c>
      <c r="X31" s="12"/>
    </row>
    <row r="32" spans="2:31" x14ac:dyDescent="0.25">
      <c r="B32" s="11"/>
      <c r="C32" s="12" t="s">
        <v>26</v>
      </c>
      <c r="D32" s="13">
        <v>3500</v>
      </c>
      <c r="E32" s="13">
        <v>3100</v>
      </c>
      <c r="F32" s="13">
        <v>4000</v>
      </c>
      <c r="G32" s="13">
        <v>4700</v>
      </c>
      <c r="H32" s="13">
        <v>5400</v>
      </c>
      <c r="I32" s="13">
        <v>5400</v>
      </c>
      <c r="J32" s="13">
        <v>4800</v>
      </c>
      <c r="K32" s="13">
        <v>5500</v>
      </c>
      <c r="L32" s="13">
        <v>6400</v>
      </c>
      <c r="M32" s="13">
        <v>6800</v>
      </c>
      <c r="N32" s="13">
        <v>6000</v>
      </c>
      <c r="O32" s="13">
        <v>6100</v>
      </c>
      <c r="P32" s="13">
        <v>6100</v>
      </c>
      <c r="Q32" s="13">
        <v>5600</v>
      </c>
      <c r="R32" s="13">
        <v>7400</v>
      </c>
      <c r="S32" s="13">
        <v>8300</v>
      </c>
      <c r="T32" s="13">
        <v>8700</v>
      </c>
      <c r="U32" s="13">
        <v>9400</v>
      </c>
      <c r="X32" s="12"/>
    </row>
    <row r="33" spans="2:24" x14ac:dyDescent="0.25">
      <c r="B33" s="11"/>
      <c r="C33" s="12" t="s">
        <v>27</v>
      </c>
      <c r="D33" s="13">
        <v>12400</v>
      </c>
      <c r="E33" s="13">
        <v>14200</v>
      </c>
      <c r="F33" s="13">
        <v>14700</v>
      </c>
      <c r="G33" s="13">
        <v>14800</v>
      </c>
      <c r="H33" s="13">
        <v>17300</v>
      </c>
      <c r="I33" s="13">
        <v>18100</v>
      </c>
      <c r="J33" s="13">
        <v>19800</v>
      </c>
      <c r="K33" s="13">
        <v>19900</v>
      </c>
      <c r="L33" s="13">
        <v>21000</v>
      </c>
      <c r="M33" s="13">
        <v>20600</v>
      </c>
      <c r="N33" s="13">
        <v>21500</v>
      </c>
      <c r="O33" s="13">
        <v>23700</v>
      </c>
      <c r="P33" s="13">
        <v>24100</v>
      </c>
      <c r="Q33" s="13">
        <v>23600</v>
      </c>
      <c r="R33" s="13">
        <v>24200</v>
      </c>
      <c r="S33" s="13">
        <v>25000</v>
      </c>
      <c r="T33" s="13">
        <v>23900</v>
      </c>
      <c r="U33" s="13">
        <v>26500</v>
      </c>
      <c r="X33" s="12"/>
    </row>
    <row r="34" spans="2:24" x14ac:dyDescent="0.25">
      <c r="B34" s="11"/>
      <c r="C34" s="12" t="s">
        <v>28</v>
      </c>
      <c r="D34" s="13">
        <v>13900</v>
      </c>
      <c r="E34" s="13">
        <v>14200</v>
      </c>
      <c r="F34" s="13">
        <v>15300</v>
      </c>
      <c r="G34" s="13">
        <v>16600</v>
      </c>
      <c r="H34" s="13">
        <v>17700</v>
      </c>
      <c r="I34" s="13">
        <v>17100</v>
      </c>
      <c r="J34" s="13">
        <v>16200</v>
      </c>
      <c r="K34" s="13">
        <v>14200</v>
      </c>
      <c r="L34" s="13">
        <v>13600</v>
      </c>
      <c r="M34" s="13">
        <v>14100</v>
      </c>
      <c r="N34" s="13">
        <v>14100</v>
      </c>
      <c r="O34" s="13">
        <v>14400</v>
      </c>
      <c r="P34" s="13">
        <v>15100</v>
      </c>
      <c r="Q34" s="13">
        <v>15800</v>
      </c>
      <c r="R34" s="13">
        <v>15200</v>
      </c>
      <c r="S34" s="13">
        <v>13200</v>
      </c>
      <c r="T34" s="13">
        <v>13700</v>
      </c>
      <c r="U34" s="13">
        <v>15600</v>
      </c>
      <c r="X34" s="12"/>
    </row>
    <row r="35" spans="2:24" x14ac:dyDescent="0.25">
      <c r="B35" s="11"/>
      <c r="C35" s="12" t="s">
        <v>29</v>
      </c>
      <c r="D35" s="13">
        <v>9600</v>
      </c>
      <c r="E35" s="13">
        <v>10300</v>
      </c>
      <c r="F35" s="13">
        <v>9800</v>
      </c>
      <c r="G35" s="13">
        <v>9700</v>
      </c>
      <c r="H35" s="13">
        <v>8000</v>
      </c>
      <c r="I35" s="13">
        <v>7400</v>
      </c>
      <c r="J35" s="13">
        <v>6800</v>
      </c>
      <c r="K35" s="13">
        <v>6100</v>
      </c>
      <c r="L35" s="13">
        <v>5800</v>
      </c>
      <c r="M35" s="13">
        <v>5400</v>
      </c>
      <c r="N35" s="13">
        <v>5600</v>
      </c>
      <c r="O35" s="13">
        <v>5800</v>
      </c>
      <c r="P35" s="13">
        <v>6900</v>
      </c>
      <c r="Q35" s="13">
        <v>8100</v>
      </c>
      <c r="R35" s="13">
        <v>7100</v>
      </c>
      <c r="S35" s="13">
        <v>7400</v>
      </c>
      <c r="T35" s="13">
        <v>6500</v>
      </c>
      <c r="U35" s="13">
        <v>5400</v>
      </c>
      <c r="X35" s="12"/>
    </row>
    <row r="36" spans="2:24" x14ac:dyDescent="0.25">
      <c r="B36" s="11"/>
      <c r="C36" s="12" t="s">
        <v>30</v>
      </c>
      <c r="D36" s="13">
        <v>19700</v>
      </c>
      <c r="E36" s="13">
        <v>20900</v>
      </c>
      <c r="F36" s="13">
        <v>20900</v>
      </c>
      <c r="G36" s="13">
        <v>22200</v>
      </c>
      <c r="H36" s="13">
        <v>20700</v>
      </c>
      <c r="I36" s="13">
        <v>19100</v>
      </c>
      <c r="J36" s="13">
        <v>20600</v>
      </c>
      <c r="K36" s="13">
        <v>23100</v>
      </c>
      <c r="L36" s="13">
        <v>22500</v>
      </c>
      <c r="M36" s="13">
        <v>24000</v>
      </c>
      <c r="N36" s="13">
        <v>23700</v>
      </c>
      <c r="O36" s="13">
        <v>25200</v>
      </c>
      <c r="P36" s="13">
        <v>25300</v>
      </c>
      <c r="Q36" s="13">
        <v>24900</v>
      </c>
      <c r="R36" s="13">
        <v>26500</v>
      </c>
      <c r="S36" s="13">
        <v>27500</v>
      </c>
      <c r="T36" s="13">
        <v>25700</v>
      </c>
      <c r="U36" s="13">
        <v>25000</v>
      </c>
      <c r="X36" s="12"/>
    </row>
    <row r="37" spans="2:24" x14ac:dyDescent="0.25">
      <c r="B37" s="11"/>
      <c r="C37" s="12" t="s">
        <v>31</v>
      </c>
      <c r="D37" s="13">
        <v>1700</v>
      </c>
      <c r="E37" s="13">
        <v>1900</v>
      </c>
      <c r="F37" s="13">
        <v>1700</v>
      </c>
      <c r="G37" s="13">
        <v>1400</v>
      </c>
      <c r="H37" s="13">
        <v>1400</v>
      </c>
      <c r="I37" s="13">
        <v>1200</v>
      </c>
      <c r="J37" s="13">
        <v>1500</v>
      </c>
      <c r="K37" s="13">
        <v>1100</v>
      </c>
      <c r="L37" s="13">
        <v>1200</v>
      </c>
      <c r="M37" s="13">
        <v>1600</v>
      </c>
      <c r="N37" s="13">
        <v>1500</v>
      </c>
      <c r="O37" s="13">
        <v>1000</v>
      </c>
      <c r="P37" s="13">
        <v>1200</v>
      </c>
      <c r="Q37" s="13">
        <v>1100</v>
      </c>
      <c r="R37" s="13">
        <v>800</v>
      </c>
      <c r="S37" s="13">
        <v>1100</v>
      </c>
      <c r="T37" s="13">
        <v>1100</v>
      </c>
      <c r="U37" s="13">
        <v>1000</v>
      </c>
      <c r="X37" s="12"/>
    </row>
    <row r="38" spans="2:24" x14ac:dyDescent="0.25">
      <c r="B38" s="11"/>
      <c r="C38" s="12" t="s">
        <v>32</v>
      </c>
      <c r="D38" s="13">
        <v>2700</v>
      </c>
      <c r="E38" s="13">
        <v>2500</v>
      </c>
      <c r="F38" s="13">
        <v>2400</v>
      </c>
      <c r="G38" s="13">
        <v>2200</v>
      </c>
      <c r="H38" s="13">
        <v>1800</v>
      </c>
      <c r="I38" s="13">
        <v>1900</v>
      </c>
      <c r="J38" s="13">
        <v>1900</v>
      </c>
      <c r="K38" s="13">
        <v>2300</v>
      </c>
      <c r="L38" s="13">
        <v>2600</v>
      </c>
      <c r="M38" s="13">
        <v>2800</v>
      </c>
      <c r="N38" s="13">
        <v>2300</v>
      </c>
      <c r="O38" s="13">
        <v>2000</v>
      </c>
      <c r="P38" s="13">
        <v>2500</v>
      </c>
      <c r="Q38" s="13">
        <v>2400</v>
      </c>
      <c r="R38" s="13">
        <v>2200</v>
      </c>
      <c r="S38" s="13">
        <v>1700</v>
      </c>
      <c r="T38" s="13">
        <v>1400</v>
      </c>
      <c r="U38" s="13">
        <v>1700</v>
      </c>
    </row>
    <row r="39" spans="2:24" x14ac:dyDescent="0.25">
      <c r="B39" s="11"/>
      <c r="C39" s="12" t="s">
        <v>33</v>
      </c>
      <c r="D39" s="13">
        <v>1000</v>
      </c>
      <c r="E39" s="13">
        <v>800</v>
      </c>
      <c r="F39" s="13">
        <v>700</v>
      </c>
      <c r="G39" s="13">
        <v>600</v>
      </c>
      <c r="H39" s="13">
        <v>700</v>
      </c>
      <c r="I39" s="13">
        <v>900</v>
      </c>
      <c r="J39" s="13">
        <v>800</v>
      </c>
      <c r="K39" s="13">
        <v>1100</v>
      </c>
      <c r="L39" s="13">
        <v>800</v>
      </c>
      <c r="M39" s="13">
        <v>1000</v>
      </c>
      <c r="N39" s="13">
        <v>900</v>
      </c>
      <c r="O39" s="13">
        <v>800</v>
      </c>
      <c r="P39" s="13">
        <v>800</v>
      </c>
      <c r="Q39" s="13">
        <v>1000</v>
      </c>
      <c r="R39" s="13">
        <v>1000</v>
      </c>
      <c r="S39" s="13">
        <v>800</v>
      </c>
      <c r="T39" s="13">
        <v>900</v>
      </c>
      <c r="U39" s="13">
        <v>1000</v>
      </c>
      <c r="X39" s="12"/>
    </row>
    <row r="40" spans="2:24" x14ac:dyDescent="0.25">
      <c r="B40" s="11"/>
      <c r="C40" s="12" t="s">
        <v>34</v>
      </c>
      <c r="D40" s="13">
        <v>7400</v>
      </c>
      <c r="E40" s="13">
        <v>6200</v>
      </c>
      <c r="F40" s="13">
        <v>6000</v>
      </c>
      <c r="G40" s="13">
        <v>6100</v>
      </c>
      <c r="H40" s="13">
        <v>6000</v>
      </c>
      <c r="I40" s="13">
        <v>5800</v>
      </c>
      <c r="J40" s="13">
        <v>5000</v>
      </c>
      <c r="K40" s="13">
        <v>4500</v>
      </c>
      <c r="L40" s="13">
        <v>5300</v>
      </c>
      <c r="M40" s="13">
        <v>5500</v>
      </c>
      <c r="N40" s="13">
        <v>6500</v>
      </c>
      <c r="O40" s="13">
        <v>6300</v>
      </c>
      <c r="P40" s="13">
        <v>5800</v>
      </c>
      <c r="Q40" s="13">
        <v>5300</v>
      </c>
      <c r="R40" s="13">
        <v>4300</v>
      </c>
      <c r="S40" s="13">
        <v>4600</v>
      </c>
      <c r="T40" s="13">
        <v>4800</v>
      </c>
      <c r="U40" s="13">
        <v>4400</v>
      </c>
      <c r="X40" s="12"/>
    </row>
    <row r="41" spans="2:24" x14ac:dyDescent="0.25">
      <c r="X41" s="12"/>
    </row>
    <row r="42" spans="2:24" x14ac:dyDescent="0.25">
      <c r="X42" s="12"/>
    </row>
    <row r="43" spans="2:24" x14ac:dyDescent="0.25">
      <c r="X43" s="12"/>
    </row>
    <row r="44" spans="2:24" x14ac:dyDescent="0.25">
      <c r="X44" s="12"/>
    </row>
    <row r="45" spans="2:24" x14ac:dyDescent="0.25">
      <c r="X45" s="12"/>
    </row>
    <row r="46" spans="2:24" x14ac:dyDescent="0.25"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X46" s="12"/>
    </row>
    <row r="47" spans="2:24" x14ac:dyDescent="0.25"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X47" s="12"/>
    </row>
    <row r="48" spans="2:24" x14ac:dyDescent="0.25"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X48" s="12"/>
    </row>
    <row r="49" spans="24:24" x14ac:dyDescent="0.25">
      <c r="X49" s="12"/>
    </row>
    <row r="66" spans="21:21" x14ac:dyDescent="0.25">
      <c r="U66" s="12"/>
    </row>
    <row r="67" spans="21:21" x14ac:dyDescent="0.25">
      <c r="U67" s="12"/>
    </row>
    <row r="68" spans="21:21" x14ac:dyDescent="0.25">
      <c r="U68" s="12"/>
    </row>
    <row r="69" spans="21:21" x14ac:dyDescent="0.25">
      <c r="U69" s="12"/>
    </row>
    <row r="70" spans="21:21" x14ac:dyDescent="0.25">
      <c r="U70" s="12"/>
    </row>
    <row r="71" spans="21:21" x14ac:dyDescent="0.25">
      <c r="U71" s="12"/>
    </row>
    <row r="72" spans="21:21" x14ac:dyDescent="0.25">
      <c r="U72" s="12"/>
    </row>
    <row r="73" spans="21:21" x14ac:dyDescent="0.25">
      <c r="U73" s="12"/>
    </row>
    <row r="74" spans="21:21" x14ac:dyDescent="0.25">
      <c r="U74" s="12"/>
    </row>
    <row r="75" spans="21:21" x14ac:dyDescent="0.25">
      <c r="U75" s="12"/>
    </row>
  </sheetData>
  <mergeCells count="1">
    <mergeCell ref="A6:G6"/>
  </mergeCells>
  <hyperlinks>
    <hyperlink ref="B4" r:id="rId1" xr:uid="{6FCEA577-0801-4D64-8B73-1DB889A6EC9C}"/>
    <hyperlink ref="B5" r:id="rId2" xr:uid="{3E06F1FD-ABA9-4E18-A89B-25C8F358C938}"/>
  </hyperlinks>
  <pageMargins left="0.70866141732283472" right="0.70866141732283472" top="0.74803149606299213" bottom="0.74803149606299213" header="0.31496062992125984" footer="0.31496062992125984"/>
  <pageSetup paperSize="9" pageOrder="overThenDown" orientation="landscape" r:id="rId3"/>
  <headerFooter>
    <oddHeader>&amp;L&amp;A&amp;C&amp;G&amp;R&amp;P af &amp;N</oddHeader>
    <oddFooter>&amp;C&amp;"-,Bold"https://www.sjalfbaerni.is</oddFoot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B031C-5669-4CB0-8F3F-F3F9EA4F1334}">
  <sheetPr>
    <tabColor theme="5" tint="0.59999389629810485"/>
  </sheetPr>
  <dimension ref="A1:T195"/>
  <sheetViews>
    <sheetView topLeftCell="A115" zoomScaleNormal="100" workbookViewId="0">
      <selection activeCell="L147" sqref="L147:N155"/>
    </sheetView>
  </sheetViews>
  <sheetFormatPr defaultColWidth="9.28515625" defaultRowHeight="15" x14ac:dyDescent="0.25"/>
  <cols>
    <col min="1" max="1" width="36.140625" style="1" customWidth="1"/>
    <col min="2" max="2" width="13.140625" style="1" bestFit="1" customWidth="1"/>
    <col min="3" max="4" width="8.140625" style="1" bestFit="1" customWidth="1"/>
    <col min="5" max="5" width="13.140625" style="1" bestFit="1" customWidth="1"/>
    <col min="6" max="7" width="8.140625" style="1" bestFit="1" customWidth="1"/>
    <col min="8" max="8" width="11.42578125" style="1" bestFit="1" customWidth="1"/>
    <col min="9" max="10" width="9.28515625" style="1"/>
    <col min="11" max="11" width="37.140625" style="1" bestFit="1" customWidth="1"/>
    <col min="12" max="12" width="15.42578125" style="1" bestFit="1" customWidth="1"/>
    <col min="13" max="13" width="10.42578125" style="1" bestFit="1" customWidth="1"/>
    <col min="14" max="14" width="10.28515625" style="1" bestFit="1" customWidth="1"/>
    <col min="15" max="15" width="13.5703125" style="1" bestFit="1" customWidth="1"/>
    <col min="16" max="16384" width="9.28515625" style="1"/>
  </cols>
  <sheetData>
    <row r="1" spans="1:20" s="4" customFormat="1" ht="21" x14ac:dyDescent="0.3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0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2"/>
      <c r="L2" s="2"/>
      <c r="M2" s="2"/>
      <c r="N2" s="2"/>
    </row>
    <row r="3" spans="1:20" ht="15" customHeight="1" x14ac:dyDescent="0.25">
      <c r="A3" s="8">
        <v>2007</v>
      </c>
      <c r="B3" s="8"/>
      <c r="C3"/>
      <c r="D3"/>
      <c r="H3" s="5"/>
      <c r="I3" s="5"/>
      <c r="J3" s="5"/>
      <c r="K3" s="8">
        <v>2007</v>
      </c>
    </row>
    <row r="4" spans="1:20" ht="15" customHeight="1" x14ac:dyDescent="0.25">
      <c r="A4" s="8" t="s">
        <v>73</v>
      </c>
      <c r="B4" s="1" t="s">
        <v>46</v>
      </c>
      <c r="C4" s="1" t="s">
        <v>48</v>
      </c>
      <c r="D4" s="1" t="s">
        <v>49</v>
      </c>
      <c r="E4" s="5"/>
      <c r="F4" s="5"/>
      <c r="G4" s="5"/>
      <c r="K4" s="8" t="s">
        <v>100</v>
      </c>
      <c r="L4" s="1" t="s">
        <v>46</v>
      </c>
      <c r="M4" s="1" t="s">
        <v>48</v>
      </c>
      <c r="N4" s="1" t="s">
        <v>49</v>
      </c>
    </row>
    <row r="5" spans="1:20" ht="15" customHeight="1" x14ac:dyDescent="0.25">
      <c r="A5" t="s">
        <v>41</v>
      </c>
      <c r="B5" s="20">
        <v>0.17</v>
      </c>
      <c r="C5" s="20">
        <v>0.13500000000000001</v>
      </c>
      <c r="D5" s="20">
        <v>0.86499999999999999</v>
      </c>
      <c r="E5" s="5"/>
      <c r="F5" s="5"/>
      <c r="G5" s="5"/>
      <c r="K5" t="s">
        <v>41</v>
      </c>
      <c r="L5" s="20">
        <v>2.7E-2</v>
      </c>
      <c r="M5" s="20">
        <v>0.41699999999999998</v>
      </c>
      <c r="N5" s="20">
        <v>0.58299999999999996</v>
      </c>
    </row>
    <row r="6" spans="1:20" ht="15" customHeight="1" x14ac:dyDescent="0.25">
      <c r="A6" t="s">
        <v>27</v>
      </c>
      <c r="B6" s="20">
        <v>9.6000000000000002E-2</v>
      </c>
      <c r="C6" s="20">
        <v>0.28599999999999998</v>
      </c>
      <c r="D6" s="20">
        <v>0.71399999999999997</v>
      </c>
      <c r="E6" s="5"/>
      <c r="F6" s="5"/>
      <c r="G6" s="5"/>
      <c r="K6" t="s">
        <v>27</v>
      </c>
      <c r="L6" s="20">
        <v>9.0999999999999998E-2</v>
      </c>
      <c r="M6" s="20">
        <v>0.24399999999999999</v>
      </c>
      <c r="N6" s="20">
        <v>0.75600000000000001</v>
      </c>
    </row>
    <row r="7" spans="1:20" ht="15" customHeight="1" x14ac:dyDescent="0.25">
      <c r="A7" t="s">
        <v>40</v>
      </c>
      <c r="B7" s="20">
        <v>9.1999999999999998E-2</v>
      </c>
      <c r="C7" s="20">
        <v>0.15</v>
      </c>
      <c r="D7" s="20">
        <v>0.85</v>
      </c>
      <c r="E7" s="5"/>
      <c r="F7" s="5"/>
      <c r="G7" s="5"/>
      <c r="K7" t="s">
        <v>40</v>
      </c>
      <c r="L7" s="20">
        <v>4.2000000000000003E-2</v>
      </c>
      <c r="M7" s="20">
        <v>0.105</v>
      </c>
      <c r="N7" s="20">
        <v>0.89500000000000002</v>
      </c>
    </row>
    <row r="8" spans="1:20" ht="15" customHeight="1" x14ac:dyDescent="0.25">
      <c r="A8" t="s">
        <v>42</v>
      </c>
      <c r="B8" s="20">
        <v>0.24299999999999999</v>
      </c>
      <c r="C8" s="20">
        <v>0.17</v>
      </c>
      <c r="D8" s="20">
        <v>0.83</v>
      </c>
      <c r="E8" s="5"/>
      <c r="F8" s="5"/>
      <c r="G8" s="5"/>
      <c r="K8" t="s">
        <v>42</v>
      </c>
      <c r="L8" s="20">
        <v>0.126</v>
      </c>
      <c r="M8" s="20">
        <v>0.26300000000000001</v>
      </c>
      <c r="N8" s="20">
        <v>0.73699999999999999</v>
      </c>
    </row>
    <row r="9" spans="1:20" ht="15" customHeight="1" x14ac:dyDescent="0.25">
      <c r="A9" t="s">
        <v>29</v>
      </c>
      <c r="B9" s="20">
        <v>9.1999999999999998E-2</v>
      </c>
      <c r="C9" s="20">
        <v>0.95</v>
      </c>
      <c r="D9" s="20">
        <v>0.05</v>
      </c>
      <c r="E9" s="5"/>
      <c r="F9" s="5"/>
      <c r="G9" s="5"/>
      <c r="K9" t="s">
        <v>29</v>
      </c>
      <c r="L9" s="20">
        <v>2.4E-2</v>
      </c>
      <c r="M9" s="20">
        <v>1</v>
      </c>
      <c r="N9" s="20">
        <v>0</v>
      </c>
    </row>
    <row r="10" spans="1:20" ht="15" customHeight="1" x14ac:dyDescent="0.25">
      <c r="A10" t="s">
        <v>43</v>
      </c>
      <c r="B10" s="20">
        <v>0.05</v>
      </c>
      <c r="C10" s="20">
        <v>0.81799999999999995</v>
      </c>
      <c r="D10" s="20">
        <v>0.182</v>
      </c>
      <c r="E10" s="5"/>
      <c r="F10" s="5"/>
      <c r="G10" s="5"/>
      <c r="K10" t="s">
        <v>43</v>
      </c>
      <c r="L10" s="20">
        <v>0</v>
      </c>
      <c r="M10" s="20" t="s">
        <v>71</v>
      </c>
      <c r="N10" s="20" t="s">
        <v>72</v>
      </c>
    </row>
    <row r="11" spans="1:20" ht="15" customHeight="1" x14ac:dyDescent="0.25">
      <c r="A11" t="s">
        <v>32</v>
      </c>
      <c r="B11" s="20">
        <v>0.151</v>
      </c>
      <c r="C11" s="20">
        <v>0</v>
      </c>
      <c r="D11" s="20">
        <v>1</v>
      </c>
      <c r="E11" s="5"/>
      <c r="F11" s="5"/>
      <c r="G11" s="5"/>
      <c r="K11" t="s">
        <v>32</v>
      </c>
      <c r="L11" s="20">
        <v>0.152</v>
      </c>
      <c r="M11" s="20">
        <v>4.2999999999999997E-2</v>
      </c>
      <c r="N11" s="20">
        <v>0.95699999999999996</v>
      </c>
    </row>
    <row r="12" spans="1:20" ht="15" customHeight="1" x14ac:dyDescent="0.25">
      <c r="A12" t="s">
        <v>44</v>
      </c>
      <c r="B12" s="20">
        <v>3.6999999999999998E-2</v>
      </c>
      <c r="C12" s="20">
        <v>0</v>
      </c>
      <c r="D12" s="20">
        <v>1</v>
      </c>
      <c r="E12" s="5"/>
      <c r="F12" s="5"/>
      <c r="G12" s="5"/>
      <c r="K12" t="s">
        <v>44</v>
      </c>
      <c r="L12" s="20">
        <v>0.53800000000000003</v>
      </c>
      <c r="M12" s="20">
        <v>0.35299999999999998</v>
      </c>
      <c r="N12" s="20">
        <v>0.64700000000000002</v>
      </c>
    </row>
    <row r="13" spans="1:20" ht="15" customHeight="1" x14ac:dyDescent="0.25">
      <c r="A13" s="19" t="s">
        <v>45</v>
      </c>
      <c r="B13" s="20">
        <v>6.9000000000000006E-2</v>
      </c>
      <c r="C13" s="20">
        <v>0.66700000000000004</v>
      </c>
      <c r="D13" s="20">
        <v>0.33300000000000002</v>
      </c>
      <c r="E13" s="5"/>
      <c r="F13" s="5"/>
      <c r="G13" s="5"/>
      <c r="K13" s="19" t="s">
        <v>45</v>
      </c>
      <c r="L13" s="20">
        <v>0</v>
      </c>
      <c r="M13" s="20" t="s">
        <v>71</v>
      </c>
      <c r="N13" s="20" t="s">
        <v>72</v>
      </c>
    </row>
    <row r="14" spans="1:20" ht="15" customHeight="1" x14ac:dyDescent="0.25">
      <c r="A14" s="12"/>
      <c r="B14" s="22"/>
      <c r="C14" s="23">
        <v>0.28899999999999998</v>
      </c>
      <c r="D14" s="23">
        <v>0.71099999999999997</v>
      </c>
      <c r="E14" s="5"/>
      <c r="F14" s="5"/>
      <c r="G14" s="5"/>
      <c r="K14" s="12"/>
      <c r="L14" s="22"/>
      <c r="M14" s="22">
        <v>0.32169999999999999</v>
      </c>
      <c r="N14" s="22">
        <v>0.67830000000000001</v>
      </c>
    </row>
    <row r="15" spans="1:20" ht="15" customHeight="1" x14ac:dyDescent="0.25">
      <c r="A15" s="12"/>
      <c r="B15" s="18"/>
      <c r="C15" s="18"/>
      <c r="D15" s="17"/>
      <c r="E15" s="22"/>
      <c r="F15" s="23"/>
      <c r="G15" s="23"/>
      <c r="H15" s="5"/>
      <c r="I15" s="5"/>
      <c r="J15" s="5"/>
      <c r="K15" s="2"/>
      <c r="L15" s="2"/>
      <c r="M15" s="2"/>
      <c r="N15" s="2"/>
    </row>
    <row r="16" spans="1:20" x14ac:dyDescent="0.25">
      <c r="A16" s="8">
        <v>2008</v>
      </c>
      <c r="B16" s="8"/>
      <c r="C16"/>
      <c r="D16"/>
      <c r="H16" s="3"/>
      <c r="I16" s="3"/>
      <c r="J16" s="3"/>
      <c r="K16" s="8">
        <v>2008</v>
      </c>
      <c r="L16" s="8"/>
      <c r="M16"/>
      <c r="N16"/>
    </row>
    <row r="17" spans="1:15" ht="15" customHeight="1" x14ac:dyDescent="0.25">
      <c r="A17" s="8" t="s">
        <v>37</v>
      </c>
      <c r="B17" s="21" t="s">
        <v>38</v>
      </c>
      <c r="C17" s="21" t="s">
        <v>39</v>
      </c>
      <c r="D17" s="21" t="s">
        <v>25</v>
      </c>
      <c r="E17" s="1" t="s">
        <v>46</v>
      </c>
      <c r="F17" s="1" t="s">
        <v>48</v>
      </c>
      <c r="G17" s="1" t="s">
        <v>49</v>
      </c>
      <c r="K17" s="8" t="s">
        <v>68</v>
      </c>
      <c r="L17" s="1" t="s">
        <v>46</v>
      </c>
      <c r="M17" s="1" t="s">
        <v>48</v>
      </c>
      <c r="N17" s="1" t="s">
        <v>49</v>
      </c>
    </row>
    <row r="18" spans="1:15" ht="15" customHeight="1" x14ac:dyDescent="0.25">
      <c r="A18" t="s">
        <v>41</v>
      </c>
      <c r="B18" s="14">
        <v>33</v>
      </c>
      <c r="C18" s="14">
        <v>5</v>
      </c>
      <c r="D18" s="14">
        <f>SUM(B18:C18)</f>
        <v>38</v>
      </c>
      <c r="E18" s="20">
        <f t="shared" ref="E18:E26" si="0">D18/$D$27</f>
        <v>0.21839080459770116</v>
      </c>
      <c r="F18" s="20">
        <f t="shared" ref="F18:F26" si="1">C18/D18</f>
        <v>0.13157894736842105</v>
      </c>
      <c r="G18" s="20">
        <f t="shared" ref="G18:G26" si="2">B18/D18</f>
        <v>0.86842105263157898</v>
      </c>
      <c r="K18" t="s">
        <v>41</v>
      </c>
      <c r="L18" s="20"/>
      <c r="M18" s="20"/>
      <c r="N18" s="20"/>
    </row>
    <row r="19" spans="1:15" x14ac:dyDescent="0.25">
      <c r="A19" t="s">
        <v>27</v>
      </c>
      <c r="B19" s="14">
        <v>8</v>
      </c>
      <c r="C19" s="14">
        <v>4</v>
      </c>
      <c r="D19" s="14">
        <f t="shared" ref="D19:D26" si="3">SUM(B19:C19)</f>
        <v>12</v>
      </c>
      <c r="E19" s="20">
        <f t="shared" si="0"/>
        <v>6.8965517241379309E-2</v>
      </c>
      <c r="F19" s="20">
        <f t="shared" si="1"/>
        <v>0.33333333333333331</v>
      </c>
      <c r="G19" s="20">
        <f t="shared" si="2"/>
        <v>0.66666666666666663</v>
      </c>
      <c r="K19" t="s">
        <v>27</v>
      </c>
      <c r="L19" s="20"/>
      <c r="M19" s="20"/>
      <c r="N19" s="20"/>
    </row>
    <row r="20" spans="1:15" x14ac:dyDescent="0.25">
      <c r="A20" t="s">
        <v>40</v>
      </c>
      <c r="B20" s="15">
        <v>3</v>
      </c>
      <c r="C20" s="15">
        <v>0</v>
      </c>
      <c r="D20" s="14">
        <f t="shared" si="3"/>
        <v>3</v>
      </c>
      <c r="E20" s="20">
        <f t="shared" si="0"/>
        <v>1.7241379310344827E-2</v>
      </c>
      <c r="F20" s="20">
        <f t="shared" si="1"/>
        <v>0</v>
      </c>
      <c r="G20" s="20">
        <f t="shared" si="2"/>
        <v>1</v>
      </c>
      <c r="K20" t="s">
        <v>40</v>
      </c>
      <c r="L20" s="20"/>
      <c r="M20" s="20"/>
      <c r="N20" s="20"/>
    </row>
    <row r="21" spans="1:15" x14ac:dyDescent="0.25">
      <c r="A21" t="s">
        <v>42</v>
      </c>
      <c r="B21" s="15">
        <v>37</v>
      </c>
      <c r="C21" s="15">
        <v>5</v>
      </c>
      <c r="D21" s="14">
        <f t="shared" si="3"/>
        <v>42</v>
      </c>
      <c r="E21" s="20">
        <f t="shared" si="0"/>
        <v>0.2413793103448276</v>
      </c>
      <c r="F21" s="20">
        <f t="shared" si="1"/>
        <v>0.11904761904761904</v>
      </c>
      <c r="G21" s="20">
        <f t="shared" si="2"/>
        <v>0.88095238095238093</v>
      </c>
      <c r="K21" t="s">
        <v>42</v>
      </c>
      <c r="L21" s="20"/>
      <c r="M21" s="20"/>
      <c r="N21" s="20"/>
    </row>
    <row r="22" spans="1:15" x14ac:dyDescent="0.25">
      <c r="A22" t="s">
        <v>29</v>
      </c>
      <c r="B22" s="15">
        <v>1</v>
      </c>
      <c r="C22" s="15">
        <v>17</v>
      </c>
      <c r="D22" s="14">
        <f t="shared" si="3"/>
        <v>18</v>
      </c>
      <c r="E22" s="20">
        <f t="shared" si="0"/>
        <v>0.10344827586206896</v>
      </c>
      <c r="F22" s="20">
        <f t="shared" si="1"/>
        <v>0.94444444444444442</v>
      </c>
      <c r="G22" s="20">
        <f t="shared" si="2"/>
        <v>5.5555555555555552E-2</v>
      </c>
      <c r="K22" t="s">
        <v>29</v>
      </c>
      <c r="L22" s="20"/>
      <c r="M22" s="20"/>
      <c r="N22" s="20"/>
    </row>
    <row r="23" spans="1:15" x14ac:dyDescent="0.25">
      <c r="A23" t="s">
        <v>43</v>
      </c>
      <c r="B23" s="16">
        <v>1</v>
      </c>
      <c r="C23" s="16">
        <v>10</v>
      </c>
      <c r="D23" s="14">
        <f t="shared" si="3"/>
        <v>11</v>
      </c>
      <c r="E23" s="20">
        <f t="shared" si="0"/>
        <v>6.3218390804597707E-2</v>
      </c>
      <c r="F23" s="20">
        <f t="shared" si="1"/>
        <v>0.90909090909090906</v>
      </c>
      <c r="G23" s="20">
        <f t="shared" si="2"/>
        <v>9.0909090909090912E-2</v>
      </c>
      <c r="I23" s="12"/>
      <c r="J23" s="12"/>
      <c r="K23" t="s">
        <v>43</v>
      </c>
      <c r="L23" s="20"/>
      <c r="M23" s="20"/>
      <c r="N23" s="20"/>
    </row>
    <row r="24" spans="1:15" x14ac:dyDescent="0.25">
      <c r="A24" t="s">
        <v>32</v>
      </c>
      <c r="B24" s="17">
        <v>30</v>
      </c>
      <c r="C24" s="17">
        <v>0</v>
      </c>
      <c r="D24" s="14">
        <f t="shared" si="3"/>
        <v>30</v>
      </c>
      <c r="E24" s="20">
        <f t="shared" si="0"/>
        <v>0.17241379310344829</v>
      </c>
      <c r="F24" s="20">
        <f t="shared" si="1"/>
        <v>0</v>
      </c>
      <c r="G24" s="20">
        <f t="shared" si="2"/>
        <v>1</v>
      </c>
      <c r="I24" s="13"/>
      <c r="J24" s="13"/>
      <c r="K24" t="s">
        <v>32</v>
      </c>
      <c r="L24" s="20"/>
      <c r="M24" s="20"/>
      <c r="N24" s="20"/>
    </row>
    <row r="25" spans="1:15" x14ac:dyDescent="0.25">
      <c r="A25" t="s">
        <v>44</v>
      </c>
      <c r="B25" s="17">
        <v>7</v>
      </c>
      <c r="C25" s="17">
        <v>0</v>
      </c>
      <c r="D25" s="14">
        <f t="shared" si="3"/>
        <v>7</v>
      </c>
      <c r="E25" s="20">
        <f t="shared" si="0"/>
        <v>4.0229885057471264E-2</v>
      </c>
      <c r="F25" s="20">
        <f t="shared" si="1"/>
        <v>0</v>
      </c>
      <c r="G25" s="20">
        <f t="shared" si="2"/>
        <v>1</v>
      </c>
      <c r="I25" s="13"/>
      <c r="J25" s="13"/>
      <c r="K25" t="s">
        <v>44</v>
      </c>
      <c r="L25" s="20"/>
      <c r="M25" s="20"/>
      <c r="N25" s="20"/>
    </row>
    <row r="26" spans="1:15" x14ac:dyDescent="0.25">
      <c r="A26" s="19" t="s">
        <v>45</v>
      </c>
      <c r="B26" s="17">
        <v>5</v>
      </c>
      <c r="C26" s="17">
        <v>8</v>
      </c>
      <c r="D26" s="14">
        <f t="shared" si="3"/>
        <v>13</v>
      </c>
      <c r="E26" s="20">
        <f t="shared" si="0"/>
        <v>7.4712643678160925E-2</v>
      </c>
      <c r="F26" s="20">
        <f t="shared" si="1"/>
        <v>0.61538461538461542</v>
      </c>
      <c r="G26" s="20">
        <f t="shared" si="2"/>
        <v>0.38461538461538464</v>
      </c>
      <c r="I26" s="13"/>
      <c r="J26" s="13"/>
      <c r="K26" s="19" t="s">
        <v>45</v>
      </c>
      <c r="L26" s="20"/>
      <c r="M26" s="20"/>
      <c r="N26" s="20"/>
    </row>
    <row r="27" spans="1:15" x14ac:dyDescent="0.25">
      <c r="A27" s="12"/>
      <c r="B27" s="18">
        <f>SUM(B18:B26)</f>
        <v>125</v>
      </c>
      <c r="C27" s="18">
        <f>SUM(C18:C26)</f>
        <v>49</v>
      </c>
      <c r="D27" s="17">
        <f>SUM(B27:C27)</f>
        <v>174</v>
      </c>
      <c r="E27" s="22">
        <f>SUBTOTAL(109,E18:E26)</f>
        <v>0.99999999999999989</v>
      </c>
      <c r="F27" s="23">
        <f>Table3[[#This Row],[KVK]]/Table3[[#This Row],[Alls]]</f>
        <v>0.28160919540229884</v>
      </c>
      <c r="G27" s="23">
        <f>Table3[[#This Row],[KK]]/Table3[[#This Row],[Alls]]</f>
        <v>0.7183908045977011</v>
      </c>
      <c r="H27" s="13"/>
      <c r="I27" s="13"/>
      <c r="J27" s="13"/>
      <c r="K27" s="12"/>
      <c r="L27" s="22"/>
      <c r="M27" s="23">
        <v>0.29320000000000002</v>
      </c>
      <c r="N27" s="23">
        <v>0.70679999999999998</v>
      </c>
    </row>
    <row r="28" spans="1:15" x14ac:dyDescent="0.25">
      <c r="B28" s="17"/>
      <c r="C28" s="17"/>
      <c r="D28" s="17"/>
      <c r="E28" s="17"/>
      <c r="F28" s="13"/>
      <c r="G28" s="13"/>
      <c r="H28" s="13"/>
      <c r="I28" s="13"/>
      <c r="J28" s="13"/>
      <c r="K28" s="13"/>
      <c r="L28" s="13"/>
      <c r="M28" s="13"/>
      <c r="N28" s="13"/>
      <c r="O28" s="13"/>
    </row>
    <row r="29" spans="1:15" x14ac:dyDescent="0.25">
      <c r="A29" s="3">
        <v>2009</v>
      </c>
      <c r="B29" s="17"/>
      <c r="C29" s="17"/>
      <c r="D29" s="22"/>
      <c r="E29" s="22"/>
      <c r="F29" s="13"/>
      <c r="G29" s="13"/>
      <c r="H29" s="13"/>
      <c r="I29" s="13"/>
      <c r="J29" s="13"/>
      <c r="K29" s="8">
        <v>2009</v>
      </c>
      <c r="L29" s="8"/>
      <c r="M29"/>
      <c r="N29"/>
      <c r="O29" s="13"/>
    </row>
    <row r="30" spans="1:15" x14ac:dyDescent="0.25">
      <c r="A30" s="8" t="s">
        <v>50</v>
      </c>
      <c r="B30" s="21" t="s">
        <v>38</v>
      </c>
      <c r="C30" s="21" t="s">
        <v>39</v>
      </c>
      <c r="D30" s="21" t="s">
        <v>25</v>
      </c>
      <c r="E30" s="1" t="s">
        <v>46</v>
      </c>
      <c r="F30" s="1" t="s">
        <v>48</v>
      </c>
      <c r="G30" s="1" t="s">
        <v>49</v>
      </c>
      <c r="H30" s="13"/>
      <c r="I30" s="13"/>
      <c r="J30" s="13"/>
      <c r="K30" s="8" t="s">
        <v>69</v>
      </c>
      <c r="L30" s="1" t="s">
        <v>46</v>
      </c>
      <c r="M30" s="1" t="s">
        <v>48</v>
      </c>
      <c r="N30" s="1" t="s">
        <v>49</v>
      </c>
      <c r="O30" s="13"/>
    </row>
    <row r="31" spans="1:15" x14ac:dyDescent="0.25">
      <c r="A31" t="s">
        <v>41</v>
      </c>
      <c r="B31" s="14">
        <v>35</v>
      </c>
      <c r="C31" s="14">
        <v>5</v>
      </c>
      <c r="D31" s="14">
        <f>SUM(B31:C31)</f>
        <v>40</v>
      </c>
      <c r="E31" s="20">
        <f>D31/$D$40</f>
        <v>0.21739130434782608</v>
      </c>
      <c r="F31" s="20">
        <f t="shared" ref="F31:F39" si="4">C31/D31</f>
        <v>0.125</v>
      </c>
      <c r="G31" s="20">
        <f t="shared" ref="G31:G39" si="5">B31/D31</f>
        <v>0.875</v>
      </c>
      <c r="H31" s="13"/>
      <c r="I31" s="13"/>
      <c r="J31" s="13"/>
      <c r="K31" t="s">
        <v>41</v>
      </c>
      <c r="L31" s="20">
        <v>6.5000000000000002E-2</v>
      </c>
      <c r="M31" s="20">
        <v>0.17399999999999999</v>
      </c>
      <c r="N31" s="20">
        <v>0.82599999999999996</v>
      </c>
      <c r="O31" s="13"/>
    </row>
    <row r="32" spans="1:15" x14ac:dyDescent="0.25">
      <c r="A32" t="s">
        <v>27</v>
      </c>
      <c r="B32" s="14">
        <v>11</v>
      </c>
      <c r="C32" s="14">
        <v>6</v>
      </c>
      <c r="D32" s="14">
        <f t="shared" ref="D32:D39" si="6">SUM(B32:C32)</f>
        <v>17</v>
      </c>
      <c r="E32" s="20">
        <f t="shared" ref="E32:E39" si="7">D32/$D$40</f>
        <v>9.2391304347826081E-2</v>
      </c>
      <c r="F32" s="20">
        <f t="shared" si="4"/>
        <v>0.35294117647058826</v>
      </c>
      <c r="G32" s="20">
        <f t="shared" si="5"/>
        <v>0.6470588235294118</v>
      </c>
      <c r="H32" s="13"/>
      <c r="I32" s="13"/>
      <c r="J32" s="13"/>
      <c r="K32" t="s">
        <v>27</v>
      </c>
      <c r="L32" s="20">
        <v>0.114</v>
      </c>
      <c r="M32" s="20">
        <v>0.33300000000000002</v>
      </c>
      <c r="N32" s="20">
        <v>0.66700000000000004</v>
      </c>
      <c r="O32" s="13"/>
    </row>
    <row r="33" spans="1:15" x14ac:dyDescent="0.25">
      <c r="A33" t="s">
        <v>40</v>
      </c>
      <c r="B33" s="15">
        <v>3</v>
      </c>
      <c r="C33" s="15">
        <v>0</v>
      </c>
      <c r="D33" s="14">
        <f t="shared" si="6"/>
        <v>3</v>
      </c>
      <c r="E33" s="20">
        <f t="shared" si="7"/>
        <v>1.6304347826086956E-2</v>
      </c>
      <c r="F33" s="20">
        <f t="shared" si="4"/>
        <v>0</v>
      </c>
      <c r="G33" s="20">
        <f t="shared" si="5"/>
        <v>1</v>
      </c>
      <c r="H33" s="13"/>
      <c r="I33" s="13"/>
      <c r="J33" s="13"/>
      <c r="K33" t="s">
        <v>40</v>
      </c>
      <c r="L33" s="20">
        <v>2.1000000000000001E-2</v>
      </c>
      <c r="M33" s="20">
        <v>6.7000000000000004E-2</v>
      </c>
      <c r="N33" s="20">
        <v>0.93300000000000005</v>
      </c>
      <c r="O33" s="13"/>
    </row>
    <row r="34" spans="1:15" x14ac:dyDescent="0.25">
      <c r="A34" t="s">
        <v>42</v>
      </c>
      <c r="B34" s="15">
        <v>38</v>
      </c>
      <c r="C34" s="15">
        <v>7</v>
      </c>
      <c r="D34" s="14">
        <f t="shared" si="6"/>
        <v>45</v>
      </c>
      <c r="E34" s="20">
        <f t="shared" si="7"/>
        <v>0.24456521739130435</v>
      </c>
      <c r="F34" s="20">
        <f t="shared" si="4"/>
        <v>0.15555555555555556</v>
      </c>
      <c r="G34" s="20">
        <f t="shared" si="5"/>
        <v>0.84444444444444444</v>
      </c>
      <c r="H34" s="13"/>
      <c r="I34" s="13"/>
      <c r="J34" s="13"/>
      <c r="K34" t="s">
        <v>42</v>
      </c>
      <c r="L34" s="20">
        <v>3.5000000000000003E-2</v>
      </c>
      <c r="M34" s="20">
        <v>0.16</v>
      </c>
      <c r="N34" s="20">
        <v>0.84</v>
      </c>
      <c r="O34" s="13"/>
    </row>
    <row r="35" spans="1:15" x14ac:dyDescent="0.25">
      <c r="A35" t="s">
        <v>29</v>
      </c>
      <c r="B35" s="15">
        <v>1</v>
      </c>
      <c r="C35" s="15">
        <v>17</v>
      </c>
      <c r="D35" s="14">
        <f t="shared" si="6"/>
        <v>18</v>
      </c>
      <c r="E35" s="20">
        <f t="shared" si="7"/>
        <v>9.7826086956521743E-2</v>
      </c>
      <c r="F35" s="20">
        <f t="shared" si="4"/>
        <v>0.94444444444444442</v>
      </c>
      <c r="G35" s="20">
        <f t="shared" si="5"/>
        <v>5.5555555555555552E-2</v>
      </c>
      <c r="H35" s="13"/>
      <c r="I35" s="13"/>
      <c r="J35" s="13"/>
      <c r="K35" t="s">
        <v>29</v>
      </c>
      <c r="L35" s="20">
        <v>3.6999999999999998E-2</v>
      </c>
      <c r="M35" s="20">
        <v>0.80800000000000005</v>
      </c>
      <c r="N35" s="20">
        <v>0.192</v>
      </c>
      <c r="O35" s="13"/>
    </row>
    <row r="36" spans="1:15" x14ac:dyDescent="0.25">
      <c r="A36" t="s">
        <v>43</v>
      </c>
      <c r="B36" s="16">
        <v>1</v>
      </c>
      <c r="C36" s="16">
        <v>9</v>
      </c>
      <c r="D36" s="14">
        <f t="shared" si="6"/>
        <v>10</v>
      </c>
      <c r="E36" s="20">
        <f t="shared" si="7"/>
        <v>5.434782608695652E-2</v>
      </c>
      <c r="F36" s="20">
        <f t="shared" si="4"/>
        <v>0.9</v>
      </c>
      <c r="G36" s="20">
        <f t="shared" si="5"/>
        <v>0.1</v>
      </c>
      <c r="H36" s="13"/>
      <c r="I36" s="13"/>
      <c r="J36" s="13"/>
      <c r="K36" t="s">
        <v>43</v>
      </c>
      <c r="L36" s="20">
        <v>0</v>
      </c>
      <c r="M36" s="20" t="s">
        <v>72</v>
      </c>
      <c r="N36" s="20" t="s">
        <v>72</v>
      </c>
      <c r="O36" s="13"/>
    </row>
    <row r="37" spans="1:15" x14ac:dyDescent="0.25">
      <c r="A37" t="s">
        <v>32</v>
      </c>
      <c r="B37" s="17">
        <v>29</v>
      </c>
      <c r="C37" s="17">
        <v>0</v>
      </c>
      <c r="D37" s="14">
        <f t="shared" si="6"/>
        <v>29</v>
      </c>
      <c r="E37" s="20">
        <f t="shared" si="7"/>
        <v>0.15760869565217392</v>
      </c>
      <c r="F37" s="20">
        <f t="shared" si="4"/>
        <v>0</v>
      </c>
      <c r="G37" s="20">
        <f t="shared" si="5"/>
        <v>1</v>
      </c>
      <c r="H37" s="13"/>
      <c r="I37" s="13"/>
      <c r="J37" s="13"/>
      <c r="K37" t="s">
        <v>32</v>
      </c>
      <c r="L37" s="20">
        <v>0.124</v>
      </c>
      <c r="M37" s="20">
        <v>5.7000000000000002E-2</v>
      </c>
      <c r="N37" s="20">
        <v>0.94299999999999995</v>
      </c>
      <c r="O37" s="13"/>
    </row>
    <row r="38" spans="1:15" x14ac:dyDescent="0.25">
      <c r="A38" t="s">
        <v>44</v>
      </c>
      <c r="B38" s="17">
        <v>7</v>
      </c>
      <c r="C38" s="17">
        <v>0</v>
      </c>
      <c r="D38" s="14">
        <f t="shared" si="6"/>
        <v>7</v>
      </c>
      <c r="E38" s="20">
        <f t="shared" si="7"/>
        <v>3.8043478260869568E-2</v>
      </c>
      <c r="F38" s="20">
        <f t="shared" si="4"/>
        <v>0</v>
      </c>
      <c r="G38" s="20">
        <f t="shared" si="5"/>
        <v>1</v>
      </c>
      <c r="H38" s="13"/>
      <c r="I38" s="13"/>
      <c r="J38" s="13"/>
      <c r="K38" t="s">
        <v>44</v>
      </c>
      <c r="L38" s="20">
        <v>0.60399999999999998</v>
      </c>
      <c r="M38" s="20">
        <v>0.27300000000000002</v>
      </c>
      <c r="N38" s="20">
        <v>0.72699999999999998</v>
      </c>
      <c r="O38" s="13"/>
    </row>
    <row r="39" spans="1:15" x14ac:dyDescent="0.25">
      <c r="A39" s="19" t="s">
        <v>45</v>
      </c>
      <c r="B39" s="17">
        <v>5</v>
      </c>
      <c r="C39" s="17">
        <v>10</v>
      </c>
      <c r="D39" s="14">
        <f t="shared" si="6"/>
        <v>15</v>
      </c>
      <c r="E39" s="20">
        <f t="shared" si="7"/>
        <v>8.1521739130434784E-2</v>
      </c>
      <c r="F39" s="20">
        <f t="shared" si="4"/>
        <v>0.66666666666666663</v>
      </c>
      <c r="G39" s="20">
        <f t="shared" si="5"/>
        <v>0.33333333333333331</v>
      </c>
      <c r="H39" s="13"/>
      <c r="I39" s="13"/>
      <c r="J39" s="13"/>
      <c r="K39" s="19" t="s">
        <v>45</v>
      </c>
      <c r="L39" s="20">
        <v>0</v>
      </c>
      <c r="M39" s="20" t="s">
        <v>72</v>
      </c>
      <c r="N39" s="20" t="s">
        <v>72</v>
      </c>
      <c r="O39" s="13"/>
    </row>
    <row r="40" spans="1:15" x14ac:dyDescent="0.25">
      <c r="A40" s="12"/>
      <c r="B40" s="18">
        <f>SUM(B31:B39)</f>
        <v>130</v>
      </c>
      <c r="C40" s="18">
        <f>SUM(C31:C39)</f>
        <v>54</v>
      </c>
      <c r="D40" s="17">
        <f>SUM(B40:C40)</f>
        <v>184</v>
      </c>
      <c r="E40" s="22">
        <f>SUBTOTAL(109,E31:E39)</f>
        <v>1</v>
      </c>
      <c r="F40" s="23">
        <f>Table35[[#This Row],[KVK]]/Table35[[#This Row],[Alls]]</f>
        <v>0.29347826086956524</v>
      </c>
      <c r="G40" s="23">
        <f>Table35[[#This Row],[KK]]/Table35[[#This Row],[Alls]]</f>
        <v>0.70652173913043481</v>
      </c>
      <c r="H40" s="13"/>
      <c r="I40" s="13"/>
      <c r="J40" s="13"/>
      <c r="K40" s="12"/>
      <c r="L40" s="22"/>
      <c r="M40" s="23">
        <v>0.25740000000000002</v>
      </c>
      <c r="N40" s="23">
        <v>0.74260000000000004</v>
      </c>
      <c r="O40" s="13"/>
    </row>
    <row r="41" spans="1:15" x14ac:dyDescent="0.25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</row>
    <row r="42" spans="1:15" x14ac:dyDescent="0.25">
      <c r="A42" s="3">
        <v>2010</v>
      </c>
      <c r="B42" s="17"/>
      <c r="C42" s="17"/>
      <c r="D42" s="22"/>
      <c r="E42" s="22"/>
      <c r="F42" s="13"/>
      <c r="G42" s="13"/>
      <c r="H42" s="13"/>
      <c r="I42" s="13"/>
      <c r="J42" s="13"/>
      <c r="K42" s="8">
        <v>2010</v>
      </c>
      <c r="L42" s="8"/>
      <c r="M42"/>
      <c r="N42"/>
      <c r="O42" s="13"/>
    </row>
    <row r="43" spans="1:15" x14ac:dyDescent="0.25">
      <c r="A43" s="8" t="s">
        <v>51</v>
      </c>
      <c r="B43" s="21" t="s">
        <v>38</v>
      </c>
      <c r="C43" s="21" t="s">
        <v>39</v>
      </c>
      <c r="D43" s="21" t="s">
        <v>25</v>
      </c>
      <c r="E43" s="1" t="s">
        <v>46</v>
      </c>
      <c r="F43" s="1" t="s">
        <v>48</v>
      </c>
      <c r="G43" s="1" t="s">
        <v>49</v>
      </c>
      <c r="H43" s="13"/>
      <c r="I43" s="13"/>
      <c r="J43" s="13"/>
      <c r="K43" s="8" t="s">
        <v>70</v>
      </c>
      <c r="L43" s="1" t="s">
        <v>46</v>
      </c>
      <c r="M43" s="1" t="s">
        <v>48</v>
      </c>
      <c r="N43" s="1" t="s">
        <v>49</v>
      </c>
      <c r="O43" s="13"/>
    </row>
    <row r="44" spans="1:15" x14ac:dyDescent="0.25">
      <c r="A44" t="s">
        <v>41</v>
      </c>
      <c r="B44" s="14">
        <v>34</v>
      </c>
      <c r="C44" s="14">
        <v>7</v>
      </c>
      <c r="D44" s="14">
        <f>SUM(B44:C44)</f>
        <v>41</v>
      </c>
      <c r="E44" s="20">
        <f>D44/D53</f>
        <v>0.21578947368421053</v>
      </c>
      <c r="F44" s="20">
        <f t="shared" ref="F44:F52" si="8">C44/D44</f>
        <v>0.17073170731707318</v>
      </c>
      <c r="G44" s="20">
        <f t="shared" ref="G44:G52" si="9">B44/D44</f>
        <v>0.82926829268292679</v>
      </c>
      <c r="H44" s="13"/>
      <c r="I44" s="13"/>
      <c r="J44" s="13"/>
      <c r="K44" t="s">
        <v>41</v>
      </c>
      <c r="L44" s="20">
        <v>7.3999999999999996E-2</v>
      </c>
      <c r="M44" s="20">
        <v>0.17499999999999999</v>
      </c>
      <c r="N44" s="20">
        <v>0.82499999999999996</v>
      </c>
      <c r="O44" s="13"/>
    </row>
    <row r="45" spans="1:15" x14ac:dyDescent="0.25">
      <c r="A45" t="s">
        <v>27</v>
      </c>
      <c r="B45" s="14">
        <v>14</v>
      </c>
      <c r="C45" s="14">
        <v>8</v>
      </c>
      <c r="D45" s="14">
        <f t="shared" ref="D45:D52" si="10">SUM(B45:C45)</f>
        <v>22</v>
      </c>
      <c r="E45" s="20">
        <f>D45/D53</f>
        <v>0.11578947368421053</v>
      </c>
      <c r="F45" s="20">
        <f t="shared" si="8"/>
        <v>0.36363636363636365</v>
      </c>
      <c r="G45" s="20">
        <f t="shared" si="9"/>
        <v>0.63636363636363635</v>
      </c>
      <c r="H45" s="13"/>
      <c r="I45" s="13"/>
      <c r="J45" s="13"/>
      <c r="K45" t="s">
        <v>27</v>
      </c>
      <c r="L45" s="20">
        <v>9.8000000000000004E-2</v>
      </c>
      <c r="M45" s="20">
        <v>0.32100000000000001</v>
      </c>
      <c r="N45" s="20">
        <v>0.67900000000000005</v>
      </c>
      <c r="O45" s="13"/>
    </row>
    <row r="46" spans="1:15" x14ac:dyDescent="0.25">
      <c r="A46" t="s">
        <v>40</v>
      </c>
      <c r="B46" s="15">
        <v>2</v>
      </c>
      <c r="C46" s="15">
        <v>0</v>
      </c>
      <c r="D46" s="14">
        <f t="shared" si="10"/>
        <v>2</v>
      </c>
      <c r="E46" s="20">
        <f>D46/D53</f>
        <v>1.0526315789473684E-2</v>
      </c>
      <c r="F46" s="20">
        <f t="shared" si="8"/>
        <v>0</v>
      </c>
      <c r="G46" s="20">
        <f t="shared" si="9"/>
        <v>1</v>
      </c>
      <c r="H46" s="13"/>
      <c r="I46" s="13"/>
      <c r="J46" s="13"/>
      <c r="K46" t="s">
        <v>40</v>
      </c>
      <c r="L46" s="20">
        <v>1.0999999999999999E-2</v>
      </c>
      <c r="M46" s="20">
        <v>0</v>
      </c>
      <c r="N46" s="20">
        <v>1</v>
      </c>
      <c r="O46" s="13"/>
    </row>
    <row r="47" spans="1:15" x14ac:dyDescent="0.25">
      <c r="A47" t="s">
        <v>42</v>
      </c>
      <c r="B47" s="15">
        <v>37</v>
      </c>
      <c r="C47" s="15">
        <v>6</v>
      </c>
      <c r="D47" s="14">
        <f t="shared" si="10"/>
        <v>43</v>
      </c>
      <c r="E47" s="20">
        <f>D47/D53</f>
        <v>0.22631578947368422</v>
      </c>
      <c r="F47" s="20">
        <f t="shared" si="8"/>
        <v>0.13953488372093023</v>
      </c>
      <c r="G47" s="20">
        <f t="shared" si="9"/>
        <v>0.86046511627906974</v>
      </c>
      <c r="H47" s="13"/>
      <c r="I47" s="13"/>
      <c r="J47" s="13"/>
      <c r="K47" t="s">
        <v>42</v>
      </c>
      <c r="L47" s="20">
        <v>6.7000000000000004E-2</v>
      </c>
      <c r="M47" s="20">
        <v>0.16700000000000001</v>
      </c>
      <c r="N47" s="20">
        <v>0.83299999999999996</v>
      </c>
      <c r="O47" s="13"/>
    </row>
    <row r="48" spans="1:15" x14ac:dyDescent="0.25">
      <c r="A48" t="s">
        <v>29</v>
      </c>
      <c r="B48" s="15">
        <v>1</v>
      </c>
      <c r="C48" s="15">
        <v>19</v>
      </c>
      <c r="D48" s="14">
        <f t="shared" si="10"/>
        <v>20</v>
      </c>
      <c r="E48" s="20">
        <f>D48/D53</f>
        <v>0.10526315789473684</v>
      </c>
      <c r="F48" s="20">
        <f t="shared" si="8"/>
        <v>0.95</v>
      </c>
      <c r="G48" s="20">
        <f t="shared" si="9"/>
        <v>0.05</v>
      </c>
      <c r="H48" s="13"/>
      <c r="I48" s="13"/>
      <c r="J48" s="13"/>
      <c r="K48" t="s">
        <v>29</v>
      </c>
      <c r="L48" s="20">
        <v>6.5000000000000002E-2</v>
      </c>
      <c r="M48" s="20">
        <v>0.68600000000000005</v>
      </c>
      <c r="N48" s="20">
        <v>0.314</v>
      </c>
      <c r="O48" s="13"/>
    </row>
    <row r="49" spans="1:19" x14ac:dyDescent="0.25">
      <c r="A49" t="s">
        <v>43</v>
      </c>
      <c r="B49" s="16">
        <v>2</v>
      </c>
      <c r="C49" s="16">
        <v>10</v>
      </c>
      <c r="D49" s="14">
        <f t="shared" si="10"/>
        <v>12</v>
      </c>
      <c r="E49" s="20">
        <f>D49/D53</f>
        <v>6.3157894736842107E-2</v>
      </c>
      <c r="F49" s="20">
        <f t="shared" si="8"/>
        <v>0.83333333333333337</v>
      </c>
      <c r="G49" s="20">
        <f t="shared" si="9"/>
        <v>0.16666666666666666</v>
      </c>
      <c r="H49" s="13"/>
      <c r="I49" s="13"/>
      <c r="J49" s="13"/>
      <c r="K49" t="s">
        <v>43</v>
      </c>
      <c r="L49" s="20">
        <v>0</v>
      </c>
      <c r="M49" s="20">
        <v>0</v>
      </c>
      <c r="N49" s="20">
        <v>0</v>
      </c>
      <c r="O49" s="13"/>
    </row>
    <row r="50" spans="1:19" x14ac:dyDescent="0.25">
      <c r="A50" t="s">
        <v>32</v>
      </c>
      <c r="B50" s="17">
        <v>33</v>
      </c>
      <c r="C50" s="17">
        <v>0</v>
      </c>
      <c r="D50" s="14">
        <f t="shared" si="10"/>
        <v>33</v>
      </c>
      <c r="E50" s="20">
        <f>D50/D53</f>
        <v>0.1736842105263158</v>
      </c>
      <c r="F50" s="20">
        <f t="shared" si="8"/>
        <v>0</v>
      </c>
      <c r="G50" s="20">
        <f t="shared" si="9"/>
        <v>1</v>
      </c>
      <c r="H50" s="13"/>
      <c r="I50" s="13"/>
      <c r="J50" s="13"/>
      <c r="K50" t="s">
        <v>32</v>
      </c>
      <c r="L50" s="20">
        <v>0.126</v>
      </c>
      <c r="M50" s="20">
        <v>4.3999999999999997E-2</v>
      </c>
      <c r="N50" s="20">
        <v>0.95599999999999996</v>
      </c>
      <c r="O50" s="13"/>
    </row>
    <row r="51" spans="1:19" x14ac:dyDescent="0.25">
      <c r="A51" t="s">
        <v>44</v>
      </c>
      <c r="B51" s="17">
        <v>5</v>
      </c>
      <c r="C51" s="17">
        <v>0</v>
      </c>
      <c r="D51" s="14">
        <f t="shared" si="10"/>
        <v>5</v>
      </c>
      <c r="E51" s="20">
        <f>D51/D53</f>
        <v>2.6315789473684209E-2</v>
      </c>
      <c r="F51" s="20">
        <f t="shared" si="8"/>
        <v>0</v>
      </c>
      <c r="G51" s="20">
        <f t="shared" si="9"/>
        <v>1</v>
      </c>
      <c r="H51" s="13"/>
      <c r="I51" s="13"/>
      <c r="J51" s="13"/>
      <c r="K51" t="s">
        <v>44</v>
      </c>
      <c r="L51" s="20">
        <v>0.55800000000000005</v>
      </c>
      <c r="M51" s="20">
        <v>0.249</v>
      </c>
      <c r="N51" s="20">
        <v>0.751</v>
      </c>
      <c r="O51" s="13"/>
    </row>
    <row r="52" spans="1:19" x14ac:dyDescent="0.25">
      <c r="A52" s="19" t="s">
        <v>45</v>
      </c>
      <c r="B52" s="17">
        <v>4</v>
      </c>
      <c r="C52" s="17">
        <v>8</v>
      </c>
      <c r="D52" s="14">
        <f t="shared" si="10"/>
        <v>12</v>
      </c>
      <c r="E52" s="20">
        <f>D52/D53</f>
        <v>6.3157894736842107E-2</v>
      </c>
      <c r="F52" s="20">
        <f t="shared" si="8"/>
        <v>0.66666666666666663</v>
      </c>
      <c r="G52" s="20">
        <f t="shared" si="9"/>
        <v>0.33333333333333331</v>
      </c>
      <c r="H52" s="13"/>
      <c r="I52" s="13"/>
      <c r="J52" s="13"/>
      <c r="K52" s="19" t="s">
        <v>45</v>
      </c>
      <c r="L52" s="20">
        <v>0</v>
      </c>
      <c r="M52" s="20">
        <v>0</v>
      </c>
      <c r="N52" s="20">
        <v>0</v>
      </c>
      <c r="O52" s="13"/>
    </row>
    <row r="53" spans="1:19" x14ac:dyDescent="0.25">
      <c r="A53" s="12"/>
      <c r="B53" s="18">
        <f>SUM(B44:B52)</f>
        <v>132</v>
      </c>
      <c r="C53" s="18">
        <f>SUM(C44:C52)</f>
        <v>58</v>
      </c>
      <c r="D53" s="17">
        <f>SUM(B53:C53)</f>
        <v>190</v>
      </c>
      <c r="E53" s="22">
        <f>SUBTOTAL(109,E44:E52)</f>
        <v>0.99999999999999989</v>
      </c>
      <c r="F53" s="23">
        <f>Table356[[#This Row],[KVK]]/Table356[[#This Row],[Alls]]</f>
        <v>0.30526315789473685</v>
      </c>
      <c r="G53" s="23">
        <f>Table356[[#This Row],[KK]]/Table356[[#This Row],[Alls]]</f>
        <v>0.69473684210526321</v>
      </c>
      <c r="H53" s="13"/>
      <c r="I53" s="13"/>
      <c r="J53" s="13"/>
      <c r="K53" s="12"/>
      <c r="L53" s="22"/>
      <c r="M53" s="23">
        <v>0.2447</v>
      </c>
      <c r="N53" s="23">
        <v>0.75529999999999997</v>
      </c>
      <c r="O53" s="13"/>
    </row>
    <row r="55" spans="1:19" x14ac:dyDescent="0.25">
      <c r="A55" s="3">
        <v>2011</v>
      </c>
      <c r="B55" s="17"/>
      <c r="C55" s="17"/>
      <c r="D55" s="22"/>
      <c r="E55" s="22"/>
      <c r="F55" s="13"/>
      <c r="G55" s="13"/>
      <c r="K55" s="3">
        <v>2011</v>
      </c>
      <c r="L55" s="17"/>
      <c r="M55" s="17"/>
      <c r="N55" s="22"/>
      <c r="O55" s="22"/>
      <c r="P55" s="13"/>
      <c r="Q55" s="13"/>
    </row>
    <row r="56" spans="1:19" x14ac:dyDescent="0.25">
      <c r="A56" s="8" t="s">
        <v>52</v>
      </c>
      <c r="B56" s="21" t="s">
        <v>38</v>
      </c>
      <c r="C56" s="21" t="s">
        <v>39</v>
      </c>
      <c r="D56" s="21" t="s">
        <v>25</v>
      </c>
      <c r="E56" s="1" t="s">
        <v>46</v>
      </c>
      <c r="F56" s="1" t="s">
        <v>48</v>
      </c>
      <c r="G56" s="1" t="s">
        <v>49</v>
      </c>
      <c r="K56" s="8" t="s">
        <v>74</v>
      </c>
      <c r="L56" s="21" t="s">
        <v>38</v>
      </c>
      <c r="M56" s="21" t="s">
        <v>39</v>
      </c>
      <c r="N56" s="21" t="s">
        <v>25</v>
      </c>
      <c r="O56" s="1" t="s">
        <v>46</v>
      </c>
      <c r="P56" s="1" t="s">
        <v>48</v>
      </c>
      <c r="Q56" s="1" t="s">
        <v>49</v>
      </c>
      <c r="R56" s="1" t="s">
        <v>87</v>
      </c>
      <c r="S56" s="1" t="s">
        <v>88</v>
      </c>
    </row>
    <row r="57" spans="1:19" x14ac:dyDescent="0.25">
      <c r="A57" t="s">
        <v>41</v>
      </c>
      <c r="B57" s="14">
        <v>40</v>
      </c>
      <c r="C57" s="14">
        <v>9</v>
      </c>
      <c r="D57" s="14">
        <f>SUM(B57:C57)</f>
        <v>49</v>
      </c>
      <c r="E57" s="20">
        <f>D57/D66</f>
        <v>0.21120689655172414</v>
      </c>
      <c r="F57" s="20">
        <f t="shared" ref="F57:F65" si="11">C57/D57</f>
        <v>0.18367346938775511</v>
      </c>
      <c r="G57" s="20">
        <f t="shared" ref="G57:G65" si="12">B57/D57</f>
        <v>0.81632653061224492</v>
      </c>
      <c r="K57" t="s">
        <v>41</v>
      </c>
      <c r="L57" s="14">
        <v>28</v>
      </c>
      <c r="M57" s="14">
        <v>8</v>
      </c>
      <c r="N57" s="14">
        <f>SUM(L57:M57)</f>
        <v>36</v>
      </c>
      <c r="O57" s="20">
        <f>N57/N66</f>
        <v>7.1287128712871281E-2</v>
      </c>
      <c r="P57" s="20">
        <f t="shared" ref="P57:P65" si="13">M57/N57</f>
        <v>0.22222222222222221</v>
      </c>
      <c r="Q57" s="20">
        <f t="shared" ref="Q57:Q65" si="14">L57/N57</f>
        <v>0.77777777777777779</v>
      </c>
      <c r="R57" s="20">
        <f>Table356724[[#This Row],[KVK]]/$N$66</f>
        <v>1.5841584158415842E-2</v>
      </c>
      <c r="S57" s="20">
        <f>Table356724[[#This Row],[KK]]/$N$66</f>
        <v>5.5445544554455446E-2</v>
      </c>
    </row>
    <row r="58" spans="1:19" x14ac:dyDescent="0.25">
      <c r="A58" t="s">
        <v>27</v>
      </c>
      <c r="B58" s="14">
        <v>21</v>
      </c>
      <c r="C58" s="14">
        <v>12</v>
      </c>
      <c r="D58" s="14">
        <f t="shared" ref="D58:D65" si="15">SUM(B58:C58)</f>
        <v>33</v>
      </c>
      <c r="E58" s="20">
        <f>D58/D66</f>
        <v>0.14224137931034483</v>
      </c>
      <c r="F58" s="20">
        <f t="shared" si="11"/>
        <v>0.36363636363636365</v>
      </c>
      <c r="G58" s="20">
        <f t="shared" si="12"/>
        <v>0.63636363636363635</v>
      </c>
      <c r="K58" t="s">
        <v>27</v>
      </c>
      <c r="L58" s="14">
        <v>46</v>
      </c>
      <c r="M58" s="14">
        <v>18</v>
      </c>
      <c r="N58" s="14">
        <f t="shared" ref="N58:N65" si="16">SUM(L58:M58)</f>
        <v>64</v>
      </c>
      <c r="O58" s="20">
        <f>N58/N66</f>
        <v>0.12673267326732673</v>
      </c>
      <c r="P58" s="20">
        <f t="shared" si="13"/>
        <v>0.28125</v>
      </c>
      <c r="Q58" s="20">
        <f t="shared" si="14"/>
        <v>0.71875</v>
      </c>
      <c r="R58" s="20">
        <f>Table356724[[#This Row],[KVK]]/$N$66</f>
        <v>3.5643564356435641E-2</v>
      </c>
      <c r="S58" s="20">
        <f>Table356724[[#This Row],[KK]]/$N$66</f>
        <v>9.1089108910891087E-2</v>
      </c>
    </row>
    <row r="59" spans="1:19" x14ac:dyDescent="0.25">
      <c r="A59" t="s">
        <v>40</v>
      </c>
      <c r="B59" s="15">
        <v>18</v>
      </c>
      <c r="C59" s="15">
        <v>3</v>
      </c>
      <c r="D59" s="14">
        <f t="shared" si="15"/>
        <v>21</v>
      </c>
      <c r="E59" s="20">
        <f>D59/D66</f>
        <v>9.0517241379310345E-2</v>
      </c>
      <c r="F59" s="20">
        <f t="shared" si="11"/>
        <v>0.14285714285714285</v>
      </c>
      <c r="G59" s="20">
        <f t="shared" si="12"/>
        <v>0.8571428571428571</v>
      </c>
      <c r="K59" t="s">
        <v>40</v>
      </c>
      <c r="L59" s="15">
        <v>10</v>
      </c>
      <c r="M59" s="15">
        <v>0</v>
      </c>
      <c r="N59" s="14">
        <f t="shared" si="16"/>
        <v>10</v>
      </c>
      <c r="O59" s="20">
        <f>N59/N66</f>
        <v>1.9801980198019802E-2</v>
      </c>
      <c r="P59" s="20">
        <f t="shared" si="13"/>
        <v>0</v>
      </c>
      <c r="Q59" s="20">
        <f t="shared" si="14"/>
        <v>1</v>
      </c>
      <c r="R59" s="20">
        <f>Table356724[[#This Row],[KVK]]/$N$66</f>
        <v>0</v>
      </c>
      <c r="S59" s="20">
        <f>Table356724[[#This Row],[KK]]/$N$66</f>
        <v>1.9801980198019802E-2</v>
      </c>
    </row>
    <row r="60" spans="1:19" x14ac:dyDescent="0.25">
      <c r="A60" t="s">
        <v>42</v>
      </c>
      <c r="B60" s="15">
        <v>37</v>
      </c>
      <c r="C60" s="15">
        <v>6</v>
      </c>
      <c r="D60" s="14">
        <f t="shared" si="15"/>
        <v>43</v>
      </c>
      <c r="E60" s="20">
        <f>D60/D66</f>
        <v>0.18534482758620691</v>
      </c>
      <c r="F60" s="20">
        <f t="shared" si="11"/>
        <v>0.13953488372093023</v>
      </c>
      <c r="G60" s="20">
        <f t="shared" si="12"/>
        <v>0.86046511627906974</v>
      </c>
      <c r="K60" t="s">
        <v>42</v>
      </c>
      <c r="L60" s="15">
        <v>8</v>
      </c>
      <c r="M60" s="15">
        <v>3</v>
      </c>
      <c r="N60" s="14">
        <f t="shared" si="16"/>
        <v>11</v>
      </c>
      <c r="O60" s="20">
        <f>N60/N66</f>
        <v>2.1782178217821781E-2</v>
      </c>
      <c r="P60" s="20">
        <f t="shared" si="13"/>
        <v>0.27272727272727271</v>
      </c>
      <c r="Q60" s="20">
        <f t="shared" si="14"/>
        <v>0.72727272727272729</v>
      </c>
      <c r="R60" s="20">
        <f>Table356724[[#This Row],[KVK]]/$N$66</f>
        <v>5.9405940594059407E-3</v>
      </c>
      <c r="S60" s="20">
        <f>Table356724[[#This Row],[KK]]/$N$66</f>
        <v>1.5841584158415842E-2</v>
      </c>
    </row>
    <row r="61" spans="1:19" x14ac:dyDescent="0.25">
      <c r="A61" t="s">
        <v>29</v>
      </c>
      <c r="B61" s="15">
        <v>0</v>
      </c>
      <c r="C61" s="15">
        <v>23</v>
      </c>
      <c r="D61" s="14">
        <f t="shared" si="15"/>
        <v>23</v>
      </c>
      <c r="E61" s="20">
        <f>D61/D66</f>
        <v>9.9137931034482762E-2</v>
      </c>
      <c r="F61" s="20">
        <f t="shared" si="11"/>
        <v>1</v>
      </c>
      <c r="G61" s="20">
        <f t="shared" si="12"/>
        <v>0</v>
      </c>
      <c r="K61" t="s">
        <v>29</v>
      </c>
      <c r="L61" s="15">
        <v>5</v>
      </c>
      <c r="M61" s="15">
        <v>19</v>
      </c>
      <c r="N61" s="14">
        <f t="shared" si="16"/>
        <v>24</v>
      </c>
      <c r="O61" s="20">
        <f>N61/N66</f>
        <v>4.7524752475247525E-2</v>
      </c>
      <c r="P61" s="20">
        <f t="shared" si="13"/>
        <v>0.79166666666666663</v>
      </c>
      <c r="Q61" s="20">
        <f t="shared" si="14"/>
        <v>0.20833333333333334</v>
      </c>
      <c r="R61" s="20">
        <f>Table356724[[#This Row],[KVK]]/$N$66</f>
        <v>3.7623762376237622E-2</v>
      </c>
      <c r="S61" s="20">
        <f>Table356724[[#This Row],[KK]]/$N$66</f>
        <v>9.9009900990099011E-3</v>
      </c>
    </row>
    <row r="62" spans="1:19" x14ac:dyDescent="0.25">
      <c r="A62" t="s">
        <v>43</v>
      </c>
      <c r="B62" s="16">
        <v>3</v>
      </c>
      <c r="C62" s="16">
        <v>10</v>
      </c>
      <c r="D62" s="14">
        <f t="shared" si="15"/>
        <v>13</v>
      </c>
      <c r="E62" s="20">
        <f>D62/D66</f>
        <v>5.6034482758620691E-2</v>
      </c>
      <c r="F62" s="20">
        <f t="shared" si="11"/>
        <v>0.76923076923076927</v>
      </c>
      <c r="G62" s="20">
        <f t="shared" si="12"/>
        <v>0.23076923076923078</v>
      </c>
      <c r="K62" t="s">
        <v>43</v>
      </c>
      <c r="L62" s="16">
        <v>16</v>
      </c>
      <c r="M62" s="16">
        <v>2</v>
      </c>
      <c r="N62" s="14">
        <f t="shared" si="16"/>
        <v>18</v>
      </c>
      <c r="O62" s="20">
        <f>N62/N66</f>
        <v>3.5643564356435641E-2</v>
      </c>
      <c r="P62" s="20">
        <f t="shared" si="13"/>
        <v>0.1111111111111111</v>
      </c>
      <c r="Q62" s="20">
        <f t="shared" si="14"/>
        <v>0.88888888888888884</v>
      </c>
      <c r="R62" s="20">
        <f>Table356724[[#This Row],[KVK]]/$N$66</f>
        <v>3.9603960396039604E-3</v>
      </c>
      <c r="S62" s="20">
        <f>Table356724[[#This Row],[KK]]/$N$66</f>
        <v>3.1683168316831684E-2</v>
      </c>
    </row>
    <row r="63" spans="1:19" x14ac:dyDescent="0.25">
      <c r="A63" t="s">
        <v>32</v>
      </c>
      <c r="B63" s="17">
        <v>34</v>
      </c>
      <c r="C63" s="17">
        <v>0</v>
      </c>
      <c r="D63" s="14">
        <f t="shared" si="15"/>
        <v>34</v>
      </c>
      <c r="E63" s="20">
        <f>D63/D66</f>
        <v>0.14655172413793102</v>
      </c>
      <c r="F63" s="20">
        <f t="shared" si="11"/>
        <v>0</v>
      </c>
      <c r="G63" s="20">
        <f t="shared" si="12"/>
        <v>1</v>
      </c>
      <c r="K63" t="s">
        <v>32</v>
      </c>
      <c r="L63" s="17">
        <v>68</v>
      </c>
      <c r="M63" s="17">
        <v>5</v>
      </c>
      <c r="N63" s="14">
        <f t="shared" si="16"/>
        <v>73</v>
      </c>
      <c r="O63" s="20">
        <f>N63/N66</f>
        <v>0.14455445544554454</v>
      </c>
      <c r="P63" s="20">
        <f t="shared" si="13"/>
        <v>6.8493150684931503E-2</v>
      </c>
      <c r="Q63" s="20">
        <f t="shared" si="14"/>
        <v>0.93150684931506844</v>
      </c>
      <c r="R63" s="20">
        <f>Table356724[[#This Row],[KVK]]/$N$66</f>
        <v>9.9009900990099011E-3</v>
      </c>
      <c r="S63" s="20">
        <f>Table356724[[#This Row],[KK]]/$N$66</f>
        <v>0.13465346534653466</v>
      </c>
    </row>
    <row r="64" spans="1:19" x14ac:dyDescent="0.25">
      <c r="A64" t="s">
        <v>44</v>
      </c>
      <c r="B64" s="17">
        <v>4</v>
      </c>
      <c r="C64" s="17">
        <v>0</v>
      </c>
      <c r="D64" s="14">
        <f t="shared" si="15"/>
        <v>4</v>
      </c>
      <c r="E64" s="20">
        <f>D64/D66</f>
        <v>1.7241379310344827E-2</v>
      </c>
      <c r="F64" s="20">
        <f t="shared" si="11"/>
        <v>0</v>
      </c>
      <c r="G64" s="20">
        <f t="shared" si="12"/>
        <v>1</v>
      </c>
      <c r="K64" t="s">
        <v>44</v>
      </c>
      <c r="L64" s="17">
        <v>213</v>
      </c>
      <c r="M64" s="17">
        <v>56</v>
      </c>
      <c r="N64" s="14">
        <f t="shared" si="16"/>
        <v>269</v>
      </c>
      <c r="O64" s="20">
        <f>N64/N66</f>
        <v>0.5326732673267327</v>
      </c>
      <c r="P64" s="20">
        <f t="shared" si="13"/>
        <v>0.20817843866171004</v>
      </c>
      <c r="Q64" s="20">
        <f t="shared" si="14"/>
        <v>0.79182156133828996</v>
      </c>
      <c r="R64" s="20">
        <f>Table356724[[#This Row],[KVK]]/$N$66</f>
        <v>0.11089108910891089</v>
      </c>
      <c r="S64" s="20">
        <f>Table356724[[#This Row],[KK]]/$N$66</f>
        <v>0.42178217821782177</v>
      </c>
    </row>
    <row r="65" spans="1:19" x14ac:dyDescent="0.25">
      <c r="A65" s="19" t="s">
        <v>45</v>
      </c>
      <c r="B65" s="17">
        <v>4</v>
      </c>
      <c r="C65" s="17">
        <v>8</v>
      </c>
      <c r="D65" s="14">
        <f t="shared" si="15"/>
        <v>12</v>
      </c>
      <c r="E65" s="20">
        <f>D65/D66</f>
        <v>5.1724137931034482E-2</v>
      </c>
      <c r="F65" s="20">
        <f t="shared" si="11"/>
        <v>0.66666666666666663</v>
      </c>
      <c r="G65" s="20">
        <f t="shared" si="12"/>
        <v>0.33333333333333331</v>
      </c>
      <c r="K65" s="19" t="s">
        <v>45</v>
      </c>
      <c r="L65" s="17">
        <v>0</v>
      </c>
      <c r="M65" s="17">
        <v>0</v>
      </c>
      <c r="N65" s="14">
        <f t="shared" si="16"/>
        <v>0</v>
      </c>
      <c r="O65" s="20">
        <f>N65/N66</f>
        <v>0</v>
      </c>
      <c r="P65" s="20" t="e">
        <f t="shared" si="13"/>
        <v>#DIV/0!</v>
      </c>
      <c r="Q65" s="20" t="e">
        <f t="shared" si="14"/>
        <v>#DIV/0!</v>
      </c>
      <c r="R65" s="20">
        <f>Table356724[[#This Row],[KVK]]/$N$66</f>
        <v>0</v>
      </c>
      <c r="S65" s="20">
        <f>Table356724[[#This Row],[KK]]/$N$66</f>
        <v>0</v>
      </c>
    </row>
    <row r="66" spans="1:19" x14ac:dyDescent="0.25">
      <c r="A66" s="12"/>
      <c r="B66" s="18">
        <f>SUM(B57:B65)</f>
        <v>161</v>
      </c>
      <c r="C66" s="18">
        <f>SUM(C57:C65)</f>
        <v>71</v>
      </c>
      <c r="D66" s="17">
        <f>SUM(B66:C66)</f>
        <v>232</v>
      </c>
      <c r="E66" s="22">
        <f>SUBTOTAL(109,E57:E65)</f>
        <v>1</v>
      </c>
      <c r="F66" s="23">
        <f>Table3567[[#This Row],[KVK]]/Table3567[[#This Row],[Alls]]</f>
        <v>0.30603448275862066</v>
      </c>
      <c r="G66" s="23">
        <f>Table3567[[#This Row],[KK]]/Table3567[[#This Row],[Alls]]</f>
        <v>0.69396551724137934</v>
      </c>
      <c r="K66" s="12"/>
      <c r="L66" s="18">
        <f>SUM(L57:L65)</f>
        <v>394</v>
      </c>
      <c r="M66" s="18">
        <f>SUM(M57:M65)</f>
        <v>111</v>
      </c>
      <c r="N66" s="17">
        <f>SUM(L66:M66)</f>
        <v>505</v>
      </c>
      <c r="O66" s="22">
        <f>SUBTOTAL(109,O57:O65)</f>
        <v>1</v>
      </c>
      <c r="P66" s="23">
        <f>Table356724[[#This Row],[KVK]]/Table356724[[#This Row],[Alls]]</f>
        <v>0.2198019801980198</v>
      </c>
      <c r="Q66" s="23">
        <f>Table356724[[#This Row],[KK]]/Table356724[[#This Row],[Alls]]</f>
        <v>0.78019801980198022</v>
      </c>
      <c r="R66" s="20">
        <f>Table356724[[#This Row],[KVK]]/$N$66</f>
        <v>0.2198019801980198</v>
      </c>
      <c r="S66" s="20">
        <f>Table356724[[#This Row],[KK]]/$N$66</f>
        <v>0.78019801980198022</v>
      </c>
    </row>
    <row r="68" spans="1:19" x14ac:dyDescent="0.25">
      <c r="A68" s="3">
        <v>2012</v>
      </c>
      <c r="B68" s="17"/>
      <c r="C68" s="17"/>
      <c r="D68" s="22"/>
      <c r="E68" s="22"/>
      <c r="F68" s="13"/>
      <c r="G68" s="13"/>
      <c r="K68" s="8">
        <v>2012</v>
      </c>
      <c r="L68" s="8"/>
      <c r="M68"/>
      <c r="N68"/>
    </row>
    <row r="69" spans="1:19" x14ac:dyDescent="0.25">
      <c r="A69" s="24" t="s">
        <v>53</v>
      </c>
      <c r="B69" s="21" t="s">
        <v>38</v>
      </c>
      <c r="C69" s="21" t="s">
        <v>39</v>
      </c>
      <c r="D69" s="21" t="s">
        <v>25</v>
      </c>
      <c r="E69" s="1" t="s">
        <v>46</v>
      </c>
      <c r="F69" s="1" t="s">
        <v>48</v>
      </c>
      <c r="G69" s="1" t="s">
        <v>49</v>
      </c>
      <c r="K69" s="8" t="s">
        <v>75</v>
      </c>
      <c r="L69" s="1" t="s">
        <v>46</v>
      </c>
      <c r="M69" s="1" t="s">
        <v>48</v>
      </c>
      <c r="N69" s="1" t="s">
        <v>49</v>
      </c>
    </row>
    <row r="70" spans="1:19" x14ac:dyDescent="0.25">
      <c r="A70" t="s">
        <v>41</v>
      </c>
      <c r="B70" s="14">
        <v>43</v>
      </c>
      <c r="C70" s="14">
        <v>9</v>
      </c>
      <c r="D70" s="14">
        <f>SUM(B70:C70)</f>
        <v>52</v>
      </c>
      <c r="E70" s="20">
        <f>D70/D79</f>
        <v>0.21052631578947367</v>
      </c>
      <c r="F70" s="20">
        <f t="shared" ref="F70:F78" si="17">C70/D70</f>
        <v>0.17307692307692307</v>
      </c>
      <c r="G70" s="20">
        <f t="shared" ref="G70:G78" si="18">B70/D70</f>
        <v>0.82692307692307687</v>
      </c>
      <c r="K70" t="s">
        <v>41</v>
      </c>
      <c r="L70" s="28">
        <v>6.4885496183206104E-2</v>
      </c>
      <c r="M70" s="28">
        <v>0.14705882352941177</v>
      </c>
      <c r="N70" s="28">
        <v>0.8529411764705882</v>
      </c>
    </row>
    <row r="71" spans="1:19" x14ac:dyDescent="0.25">
      <c r="A71" t="s">
        <v>27</v>
      </c>
      <c r="B71" s="14">
        <v>25</v>
      </c>
      <c r="C71" s="14">
        <v>12</v>
      </c>
      <c r="D71" s="14">
        <f t="shared" ref="D71:D78" si="19">SUM(B71:C71)</f>
        <v>37</v>
      </c>
      <c r="E71" s="20">
        <f>D71/D79</f>
        <v>0.14979757085020243</v>
      </c>
      <c r="F71" s="20">
        <f t="shared" si="17"/>
        <v>0.32432432432432434</v>
      </c>
      <c r="G71" s="20">
        <f t="shared" si="18"/>
        <v>0.67567567567567566</v>
      </c>
      <c r="K71" t="s">
        <v>27</v>
      </c>
      <c r="L71" s="28">
        <v>0.12022900763358779</v>
      </c>
      <c r="M71" s="28">
        <v>0.2857142857142857</v>
      </c>
      <c r="N71" s="28">
        <v>0.7142857142857143</v>
      </c>
    </row>
    <row r="72" spans="1:19" x14ac:dyDescent="0.25">
      <c r="A72" t="s">
        <v>40</v>
      </c>
      <c r="B72" s="15">
        <v>22</v>
      </c>
      <c r="C72" s="15">
        <v>5</v>
      </c>
      <c r="D72" s="14">
        <f t="shared" si="19"/>
        <v>27</v>
      </c>
      <c r="E72" s="20">
        <f>D72/D79</f>
        <v>0.10931174089068826</v>
      </c>
      <c r="F72" s="20">
        <f t="shared" si="17"/>
        <v>0.18518518518518517</v>
      </c>
      <c r="G72" s="20">
        <f t="shared" si="18"/>
        <v>0.81481481481481477</v>
      </c>
      <c r="K72" t="s">
        <v>40</v>
      </c>
      <c r="L72" s="28">
        <v>1.717557251908397E-2</v>
      </c>
      <c r="M72" s="28">
        <v>0.1111111111111111</v>
      </c>
      <c r="N72" s="28">
        <v>0.88888888888888884</v>
      </c>
    </row>
    <row r="73" spans="1:19" x14ac:dyDescent="0.25">
      <c r="A73" t="s">
        <v>42</v>
      </c>
      <c r="B73" s="15">
        <v>43</v>
      </c>
      <c r="C73" s="15">
        <v>6</v>
      </c>
      <c r="D73" s="14">
        <f t="shared" si="19"/>
        <v>49</v>
      </c>
      <c r="E73" s="20">
        <f>D73/D79</f>
        <v>0.19838056680161945</v>
      </c>
      <c r="F73" s="20">
        <f t="shared" si="17"/>
        <v>0.12244897959183673</v>
      </c>
      <c r="G73" s="20">
        <f t="shared" si="18"/>
        <v>0.87755102040816324</v>
      </c>
      <c r="K73" t="s">
        <v>42</v>
      </c>
      <c r="L73" s="28">
        <v>2.8625954198473282E-2</v>
      </c>
      <c r="M73" s="28">
        <v>0.26666666666666666</v>
      </c>
      <c r="N73" s="28">
        <v>0.73333333333333328</v>
      </c>
    </row>
    <row r="74" spans="1:19" x14ac:dyDescent="0.25">
      <c r="A74" t="s">
        <v>29</v>
      </c>
      <c r="B74" s="15">
        <v>0</v>
      </c>
      <c r="C74" s="15">
        <v>19</v>
      </c>
      <c r="D74" s="14">
        <f t="shared" si="19"/>
        <v>19</v>
      </c>
      <c r="E74" s="20">
        <f>D74/D79</f>
        <v>7.6923076923076927E-2</v>
      </c>
      <c r="F74" s="20">
        <f t="shared" si="17"/>
        <v>1</v>
      </c>
      <c r="G74" s="20">
        <f t="shared" si="18"/>
        <v>0</v>
      </c>
      <c r="K74" t="s">
        <v>29</v>
      </c>
      <c r="L74" s="28">
        <v>4.5801526717557252E-2</v>
      </c>
      <c r="M74" s="28">
        <v>0.79166666666666663</v>
      </c>
      <c r="N74" s="28">
        <v>0.20833333333333334</v>
      </c>
    </row>
    <row r="75" spans="1:19" x14ac:dyDescent="0.25">
      <c r="A75" t="s">
        <v>43</v>
      </c>
      <c r="B75" s="16">
        <v>3</v>
      </c>
      <c r="C75" s="16">
        <v>11</v>
      </c>
      <c r="D75" s="14">
        <f t="shared" si="19"/>
        <v>14</v>
      </c>
      <c r="E75" s="20">
        <f>D75/D79</f>
        <v>5.6680161943319839E-2</v>
      </c>
      <c r="F75" s="20">
        <f t="shared" si="17"/>
        <v>0.7857142857142857</v>
      </c>
      <c r="G75" s="20">
        <f t="shared" si="18"/>
        <v>0.21428571428571427</v>
      </c>
      <c r="K75" t="s">
        <v>43</v>
      </c>
      <c r="L75" s="28">
        <v>3.4351145038167941E-2</v>
      </c>
      <c r="M75" s="28">
        <v>0.1111111111111111</v>
      </c>
      <c r="N75" s="28">
        <v>0.88888888888888884</v>
      </c>
    </row>
    <row r="76" spans="1:19" x14ac:dyDescent="0.25">
      <c r="A76" t="s">
        <v>32</v>
      </c>
      <c r="B76" s="17">
        <v>34</v>
      </c>
      <c r="C76" s="17">
        <v>0</v>
      </c>
      <c r="D76" s="14">
        <f t="shared" si="19"/>
        <v>34</v>
      </c>
      <c r="E76" s="20">
        <f>D76/D79</f>
        <v>0.13765182186234817</v>
      </c>
      <c r="F76" s="20">
        <f t="shared" si="17"/>
        <v>0</v>
      </c>
      <c r="G76" s="20">
        <f t="shared" si="18"/>
        <v>1</v>
      </c>
      <c r="K76" t="s">
        <v>32</v>
      </c>
      <c r="L76" s="28">
        <v>0.14694656488549618</v>
      </c>
      <c r="M76" s="28">
        <v>7.792207792207792E-2</v>
      </c>
      <c r="N76" s="28">
        <v>0.92207792207792205</v>
      </c>
    </row>
    <row r="77" spans="1:19" x14ac:dyDescent="0.25">
      <c r="A77" t="s">
        <v>44</v>
      </c>
      <c r="B77" s="17">
        <v>2</v>
      </c>
      <c r="C77" s="17">
        <v>0</v>
      </c>
      <c r="D77" s="14">
        <f t="shared" si="19"/>
        <v>2</v>
      </c>
      <c r="E77" s="20">
        <f>D77/D79</f>
        <v>8.0971659919028341E-3</v>
      </c>
      <c r="F77" s="20">
        <f t="shared" si="17"/>
        <v>0</v>
      </c>
      <c r="G77" s="20">
        <f t="shared" si="18"/>
        <v>1</v>
      </c>
      <c r="K77" t="s">
        <v>44</v>
      </c>
      <c r="L77" s="28">
        <v>0.5419847328244275</v>
      </c>
      <c r="M77" s="28">
        <v>0.20422535211267606</v>
      </c>
      <c r="N77" s="28">
        <v>0.79577464788732399</v>
      </c>
    </row>
    <row r="78" spans="1:19" x14ac:dyDescent="0.25">
      <c r="A78" s="19" t="s">
        <v>45</v>
      </c>
      <c r="B78" s="17">
        <v>5</v>
      </c>
      <c r="C78" s="17">
        <v>8</v>
      </c>
      <c r="D78" s="14">
        <f t="shared" si="19"/>
        <v>13</v>
      </c>
      <c r="E78" s="20">
        <f>D78/D79</f>
        <v>5.2631578947368418E-2</v>
      </c>
      <c r="F78" s="20">
        <f t="shared" si="17"/>
        <v>0.61538461538461542</v>
      </c>
      <c r="G78" s="20">
        <f t="shared" si="18"/>
        <v>0.38461538461538464</v>
      </c>
      <c r="K78" s="19" t="s">
        <v>45</v>
      </c>
      <c r="L78" s="28">
        <v>0</v>
      </c>
      <c r="M78" s="28">
        <v>0</v>
      </c>
      <c r="N78" s="28">
        <v>0</v>
      </c>
    </row>
    <row r="79" spans="1:19" x14ac:dyDescent="0.25">
      <c r="A79" s="12"/>
      <c r="B79" s="18">
        <f>SUM(B70:B78)</f>
        <v>177</v>
      </c>
      <c r="C79" s="18">
        <f>SUM(C70:C78)</f>
        <v>70</v>
      </c>
      <c r="D79" s="17">
        <f>SUM(B79:C79)</f>
        <v>247</v>
      </c>
      <c r="E79" s="22">
        <f>SUBTOTAL(109,E70:E78)</f>
        <v>0.99999999999999978</v>
      </c>
      <c r="F79" s="23">
        <f>Table35678[[#This Row],[KVK]]/Table35678[[#This Row],[Alls]]</f>
        <v>0.2834008097165992</v>
      </c>
      <c r="G79" s="23">
        <f>Table35678[[#This Row],[KK]]/Table35678[[#This Row],[Alls]]</f>
        <v>0.7165991902834008</v>
      </c>
      <c r="K79" s="12"/>
      <c r="L79" s="22"/>
      <c r="M79" s="23">
        <v>0.21560000000000001</v>
      </c>
      <c r="N79" s="23">
        <v>0.78439999999999999</v>
      </c>
    </row>
    <row r="81" spans="1:16" x14ac:dyDescent="0.25">
      <c r="A81" s="3">
        <v>2013</v>
      </c>
      <c r="B81" s="17"/>
      <c r="C81" s="17"/>
      <c r="D81" s="22"/>
      <c r="E81" s="22"/>
      <c r="F81" s="13"/>
      <c r="G81" s="13"/>
      <c r="K81" s="8">
        <v>2013</v>
      </c>
      <c r="L81" s="8"/>
      <c r="M81"/>
      <c r="N81"/>
    </row>
    <row r="82" spans="1:16" x14ac:dyDescent="0.25">
      <c r="A82" s="24" t="s">
        <v>54</v>
      </c>
      <c r="B82" s="21" t="s">
        <v>38</v>
      </c>
      <c r="C82" s="21" t="s">
        <v>39</v>
      </c>
      <c r="D82" s="21" t="s">
        <v>25</v>
      </c>
      <c r="E82" s="1" t="s">
        <v>46</v>
      </c>
      <c r="F82" s="1" t="s">
        <v>48</v>
      </c>
      <c r="G82" s="1" t="s">
        <v>49</v>
      </c>
      <c r="K82" s="8" t="s">
        <v>76</v>
      </c>
      <c r="L82" s="1" t="s">
        <v>46</v>
      </c>
      <c r="M82" s="1" t="s">
        <v>48</v>
      </c>
      <c r="N82" s="1" t="s">
        <v>49</v>
      </c>
      <c r="O82" s="1" t="s">
        <v>87</v>
      </c>
      <c r="P82" s="1" t="s">
        <v>88</v>
      </c>
    </row>
    <row r="83" spans="1:16" x14ac:dyDescent="0.25">
      <c r="A83" t="s">
        <v>41</v>
      </c>
      <c r="B83" s="14">
        <v>42</v>
      </c>
      <c r="C83" s="14">
        <v>9</v>
      </c>
      <c r="D83" s="14">
        <f>SUM(B83:C83)</f>
        <v>51</v>
      </c>
      <c r="E83" s="20">
        <f>D83/D92</f>
        <v>0.20564516129032259</v>
      </c>
      <c r="F83" s="20">
        <f t="shared" ref="F83:F91" si="20">C83/D83</f>
        <v>0.17647058823529413</v>
      </c>
      <c r="G83" s="20">
        <f t="shared" ref="G83:G91" si="21">B83/D83</f>
        <v>0.82352941176470584</v>
      </c>
      <c r="K83" t="s">
        <v>41</v>
      </c>
      <c r="L83" s="28">
        <v>6.3E-2</v>
      </c>
      <c r="M83" s="28">
        <v>0.125</v>
      </c>
      <c r="N83" s="28">
        <v>0.875</v>
      </c>
      <c r="O83" s="20">
        <v>7.9000000000000008E-3</v>
      </c>
      <c r="P83" s="20">
        <v>5.5100000000000003E-2</v>
      </c>
    </row>
    <row r="84" spans="1:16" x14ac:dyDescent="0.25">
      <c r="A84" t="s">
        <v>27</v>
      </c>
      <c r="B84" s="14">
        <v>30</v>
      </c>
      <c r="C84" s="14">
        <v>13</v>
      </c>
      <c r="D84" s="14">
        <f t="shared" ref="D84:D91" si="22">SUM(B84:C84)</f>
        <v>43</v>
      </c>
      <c r="E84" s="20">
        <f>D84/D92</f>
        <v>0.17338709677419356</v>
      </c>
      <c r="F84" s="20">
        <f t="shared" si="20"/>
        <v>0.30232558139534882</v>
      </c>
      <c r="G84" s="20">
        <f t="shared" si="21"/>
        <v>0.69767441860465118</v>
      </c>
      <c r="K84" t="s">
        <v>27</v>
      </c>
      <c r="L84" s="28">
        <v>0.122</v>
      </c>
      <c r="M84" s="28">
        <v>0.3226</v>
      </c>
      <c r="N84" s="28">
        <v>0.6774</v>
      </c>
      <c r="O84" s="20">
        <v>3.9399999999999998E-2</v>
      </c>
      <c r="P84" s="20">
        <v>8.2699999999999996E-2</v>
      </c>
    </row>
    <row r="85" spans="1:16" x14ac:dyDescent="0.25">
      <c r="A85" t="s">
        <v>40</v>
      </c>
      <c r="B85" s="15">
        <v>23</v>
      </c>
      <c r="C85" s="15">
        <v>5</v>
      </c>
      <c r="D85" s="14">
        <f t="shared" si="22"/>
        <v>28</v>
      </c>
      <c r="E85" s="20">
        <f>D85/D92</f>
        <v>0.11290322580645161</v>
      </c>
      <c r="F85" s="20">
        <f t="shared" si="20"/>
        <v>0.17857142857142858</v>
      </c>
      <c r="G85" s="20">
        <f t="shared" si="21"/>
        <v>0.8214285714285714</v>
      </c>
      <c r="K85" t="s">
        <v>40</v>
      </c>
      <c r="L85" s="28">
        <v>1.5699999999999999E-2</v>
      </c>
      <c r="M85" s="28">
        <v>0.125</v>
      </c>
      <c r="N85" s="28">
        <v>0.875</v>
      </c>
      <c r="O85" s="20">
        <v>2E-3</v>
      </c>
      <c r="P85" s="20">
        <v>1.38E-2</v>
      </c>
    </row>
    <row r="86" spans="1:16" x14ac:dyDescent="0.25">
      <c r="A86" t="s">
        <v>42</v>
      </c>
      <c r="B86" s="15">
        <v>41</v>
      </c>
      <c r="C86" s="15">
        <v>5</v>
      </c>
      <c r="D86" s="14">
        <f t="shared" si="22"/>
        <v>46</v>
      </c>
      <c r="E86" s="20">
        <f>D86/D92</f>
        <v>0.18548387096774194</v>
      </c>
      <c r="F86" s="20">
        <f t="shared" si="20"/>
        <v>0.10869565217391304</v>
      </c>
      <c r="G86" s="20">
        <f t="shared" si="21"/>
        <v>0.89130434782608692</v>
      </c>
      <c r="K86" t="s">
        <v>42</v>
      </c>
      <c r="L86" s="28">
        <v>2.5600000000000001E-2</v>
      </c>
      <c r="M86" s="28">
        <v>0.30769999999999997</v>
      </c>
      <c r="N86" s="28">
        <v>0.69230000000000003</v>
      </c>
      <c r="O86" s="20">
        <v>7.9000000000000008E-3</v>
      </c>
      <c r="P86" s="20">
        <v>1.77E-2</v>
      </c>
    </row>
    <row r="87" spans="1:16" x14ac:dyDescent="0.25">
      <c r="A87" t="s">
        <v>29</v>
      </c>
      <c r="B87" s="15">
        <v>0</v>
      </c>
      <c r="C87" s="15">
        <v>19</v>
      </c>
      <c r="D87" s="14">
        <f t="shared" si="22"/>
        <v>19</v>
      </c>
      <c r="E87" s="20">
        <f>D87/D92</f>
        <v>7.6612903225806453E-2</v>
      </c>
      <c r="F87" s="20">
        <f t="shared" si="20"/>
        <v>1</v>
      </c>
      <c r="G87" s="20">
        <f t="shared" si="21"/>
        <v>0</v>
      </c>
      <c r="K87" t="s">
        <v>29</v>
      </c>
      <c r="L87" s="28">
        <v>3.5400000000000001E-2</v>
      </c>
      <c r="M87" s="28">
        <v>0.83330000000000004</v>
      </c>
      <c r="N87" s="28">
        <v>0.16669999999999999</v>
      </c>
      <c r="O87" s="20">
        <v>2.9499999999999998E-2</v>
      </c>
      <c r="P87" s="20">
        <v>5.8999999999999999E-3</v>
      </c>
    </row>
    <row r="88" spans="1:16" x14ac:dyDescent="0.25">
      <c r="A88" t="s">
        <v>43</v>
      </c>
      <c r="B88" s="16">
        <v>3</v>
      </c>
      <c r="C88" s="16">
        <v>11</v>
      </c>
      <c r="D88" s="14">
        <f t="shared" si="22"/>
        <v>14</v>
      </c>
      <c r="E88" s="20">
        <f>D88/D92</f>
        <v>5.6451612903225805E-2</v>
      </c>
      <c r="F88" s="20">
        <f t="shared" si="20"/>
        <v>0.7857142857142857</v>
      </c>
      <c r="G88" s="20">
        <f t="shared" si="21"/>
        <v>0.21428571428571427</v>
      </c>
      <c r="K88" t="s">
        <v>43</v>
      </c>
      <c r="L88" s="28">
        <v>4.3299999999999998E-2</v>
      </c>
      <c r="M88" s="28">
        <v>0.13639999999999999</v>
      </c>
      <c r="N88" s="28">
        <v>0.86360000000000003</v>
      </c>
      <c r="O88" s="20">
        <v>5.8999999999999999E-3</v>
      </c>
      <c r="P88" s="20">
        <v>3.7400000000000003E-2</v>
      </c>
    </row>
    <row r="89" spans="1:16" x14ac:dyDescent="0.25">
      <c r="A89" t="s">
        <v>32</v>
      </c>
      <c r="B89" s="17">
        <v>33</v>
      </c>
      <c r="C89" s="17">
        <v>0</v>
      </c>
      <c r="D89" s="14">
        <f t="shared" si="22"/>
        <v>33</v>
      </c>
      <c r="E89" s="20">
        <f>D89/D92</f>
        <v>0.13306451612903225</v>
      </c>
      <c r="F89" s="20">
        <f t="shared" si="20"/>
        <v>0</v>
      </c>
      <c r="G89" s="20">
        <f t="shared" si="21"/>
        <v>1</v>
      </c>
      <c r="K89" t="s">
        <v>32</v>
      </c>
      <c r="L89" s="28">
        <v>0.1555</v>
      </c>
      <c r="M89" s="28">
        <v>6.3299999999999995E-2</v>
      </c>
      <c r="N89" s="28">
        <v>0.93669999999999998</v>
      </c>
      <c r="O89" s="20">
        <v>9.7999999999999997E-3</v>
      </c>
      <c r="P89" s="20">
        <v>0.1457</v>
      </c>
    </row>
    <row r="90" spans="1:16" x14ac:dyDescent="0.25">
      <c r="A90" t="s">
        <v>44</v>
      </c>
      <c r="B90" s="17">
        <v>2</v>
      </c>
      <c r="C90" s="17">
        <v>0</v>
      </c>
      <c r="D90" s="14">
        <f t="shared" si="22"/>
        <v>2</v>
      </c>
      <c r="E90" s="20">
        <f>D90/D92</f>
        <v>8.0645161290322578E-3</v>
      </c>
      <c r="F90" s="20">
        <f t="shared" si="20"/>
        <v>0</v>
      </c>
      <c r="G90" s="20">
        <f t="shared" si="21"/>
        <v>1</v>
      </c>
      <c r="K90" t="s">
        <v>44</v>
      </c>
      <c r="L90" s="28">
        <v>0.53939999999999999</v>
      </c>
      <c r="M90" s="28">
        <v>0.2044</v>
      </c>
      <c r="N90" s="28">
        <v>0.79559999999999997</v>
      </c>
      <c r="O90" s="20">
        <v>0.11020000000000001</v>
      </c>
      <c r="P90" s="20">
        <v>0.42909999999999998</v>
      </c>
    </row>
    <row r="91" spans="1:16" x14ac:dyDescent="0.25">
      <c r="A91" s="19" t="s">
        <v>45</v>
      </c>
      <c r="B91" s="17">
        <v>4</v>
      </c>
      <c r="C91" s="17">
        <v>8</v>
      </c>
      <c r="D91" s="14">
        <f t="shared" si="22"/>
        <v>12</v>
      </c>
      <c r="E91" s="20">
        <f>D91/D92</f>
        <v>4.8387096774193547E-2</v>
      </c>
      <c r="F91" s="20">
        <f t="shared" si="20"/>
        <v>0.66666666666666663</v>
      </c>
      <c r="G91" s="20">
        <f t="shared" si="21"/>
        <v>0.33333333333333331</v>
      </c>
      <c r="K91" s="19" t="s">
        <v>45</v>
      </c>
      <c r="L91" s="28">
        <v>0</v>
      </c>
      <c r="M91" s="28">
        <v>0</v>
      </c>
      <c r="N91" s="28">
        <v>0</v>
      </c>
      <c r="O91" s="20">
        <v>0</v>
      </c>
      <c r="P91" s="20">
        <v>0</v>
      </c>
    </row>
    <row r="92" spans="1:16" x14ac:dyDescent="0.25">
      <c r="A92" s="12"/>
      <c r="B92" s="18">
        <f>SUM(B83:B91)</f>
        <v>178</v>
      </c>
      <c r="C92" s="18">
        <f>SUM(C83:C91)</f>
        <v>70</v>
      </c>
      <c r="D92" s="17">
        <f>SUM(B92:C92)</f>
        <v>248</v>
      </c>
      <c r="E92" s="22">
        <f>SUBTOTAL(109,E83:E91)</f>
        <v>1</v>
      </c>
      <c r="F92" s="23">
        <f>Table356789[[#This Row],[KVK]]/Table356789[[#This Row],[Alls]]</f>
        <v>0.28225806451612906</v>
      </c>
      <c r="G92" s="23">
        <f>Table356789[[#This Row],[KK]]/Table356789[[#This Row],[Alls]]</f>
        <v>0.717741935483871</v>
      </c>
      <c r="K92" s="12"/>
      <c r="L92" s="22"/>
      <c r="M92" s="20">
        <v>0.21260000000000001</v>
      </c>
      <c r="N92" s="20">
        <v>0.78739999999999999</v>
      </c>
      <c r="O92" s="20">
        <v>0.21260000000000001</v>
      </c>
      <c r="P92" s="20">
        <v>0.78739999999999999</v>
      </c>
    </row>
    <row r="94" spans="1:16" x14ac:dyDescent="0.25">
      <c r="A94" s="3">
        <v>2014</v>
      </c>
      <c r="B94" s="17"/>
      <c r="C94" s="17"/>
      <c r="D94" s="22"/>
      <c r="E94" s="22"/>
      <c r="F94" s="13"/>
      <c r="G94" s="13"/>
      <c r="K94" s="8">
        <v>2014</v>
      </c>
      <c r="L94" s="8"/>
      <c r="M94"/>
      <c r="N94"/>
    </row>
    <row r="95" spans="1:16" x14ac:dyDescent="0.25">
      <c r="A95" s="24" t="s">
        <v>55</v>
      </c>
      <c r="B95" s="21" t="s">
        <v>38</v>
      </c>
      <c r="C95" s="21" t="s">
        <v>39</v>
      </c>
      <c r="D95" s="21" t="s">
        <v>25</v>
      </c>
      <c r="E95" s="1" t="s">
        <v>46</v>
      </c>
      <c r="F95" s="1" t="s">
        <v>48</v>
      </c>
      <c r="G95" s="1" t="s">
        <v>49</v>
      </c>
      <c r="K95" s="8" t="s">
        <v>77</v>
      </c>
      <c r="L95" s="1" t="s">
        <v>46</v>
      </c>
      <c r="M95" s="1" t="s">
        <v>48</v>
      </c>
      <c r="N95" s="1" t="s">
        <v>49</v>
      </c>
      <c r="O95" s="1" t="s">
        <v>87</v>
      </c>
      <c r="P95" s="1" t="s">
        <v>88</v>
      </c>
    </row>
    <row r="96" spans="1:16" x14ac:dyDescent="0.25">
      <c r="A96" t="s">
        <v>41</v>
      </c>
      <c r="B96" s="14">
        <v>41</v>
      </c>
      <c r="C96" s="14">
        <v>10</v>
      </c>
      <c r="D96" s="14">
        <f>SUM(B96:C96)</f>
        <v>51</v>
      </c>
      <c r="E96" s="20">
        <f>D96/D105</f>
        <v>0.20901639344262296</v>
      </c>
      <c r="F96" s="20">
        <f t="shared" ref="F96:F104" si="23">C96/D96</f>
        <v>0.19607843137254902</v>
      </c>
      <c r="G96" s="20">
        <f t="shared" ref="G96:G104" si="24">B96/D96</f>
        <v>0.80392156862745101</v>
      </c>
      <c r="K96" t="s">
        <v>41</v>
      </c>
      <c r="L96" s="28">
        <v>7.3200000000000001E-2</v>
      </c>
      <c r="M96" s="28">
        <v>0.16669999999999999</v>
      </c>
      <c r="N96" s="28">
        <v>0.83330000000000004</v>
      </c>
      <c r="O96" s="20">
        <v>1.2200000000000001E-2</v>
      </c>
      <c r="P96" s="20">
        <v>6.0999999999999999E-2</v>
      </c>
    </row>
    <row r="97" spans="1:16" x14ac:dyDescent="0.25">
      <c r="A97" t="s">
        <v>27</v>
      </c>
      <c r="B97" s="14">
        <v>32</v>
      </c>
      <c r="C97" s="14">
        <v>13</v>
      </c>
      <c r="D97" s="14">
        <f t="shared" ref="D97:D104" si="25">SUM(B97:C97)</f>
        <v>45</v>
      </c>
      <c r="E97" s="20">
        <f>D97/D105</f>
        <v>0.18442622950819673</v>
      </c>
      <c r="F97" s="20">
        <f t="shared" si="23"/>
        <v>0.28888888888888886</v>
      </c>
      <c r="G97" s="20">
        <f t="shared" si="24"/>
        <v>0.71111111111111114</v>
      </c>
      <c r="K97" t="s">
        <v>27</v>
      </c>
      <c r="L97" s="28">
        <v>0.1138</v>
      </c>
      <c r="M97" s="28">
        <v>0.33929999999999999</v>
      </c>
      <c r="N97" s="28">
        <v>0.66069999999999995</v>
      </c>
      <c r="O97" s="20">
        <v>3.8600000000000002E-2</v>
      </c>
      <c r="P97" s="20">
        <v>7.5200000000000003E-2</v>
      </c>
    </row>
    <row r="98" spans="1:16" x14ac:dyDescent="0.25">
      <c r="A98" t="s">
        <v>40</v>
      </c>
      <c r="B98" s="15">
        <v>25</v>
      </c>
      <c r="C98" s="15">
        <v>8</v>
      </c>
      <c r="D98" s="14">
        <f t="shared" si="25"/>
        <v>33</v>
      </c>
      <c r="E98" s="20">
        <f>D98/D105</f>
        <v>0.13524590163934427</v>
      </c>
      <c r="F98" s="20">
        <f t="shared" si="23"/>
        <v>0.24242424242424243</v>
      </c>
      <c r="G98" s="20">
        <f t="shared" si="24"/>
        <v>0.75757575757575757</v>
      </c>
      <c r="K98" t="s">
        <v>40</v>
      </c>
      <c r="L98" s="28">
        <v>2.64E-2</v>
      </c>
      <c r="M98" s="28">
        <v>0.15379999999999999</v>
      </c>
      <c r="N98" s="28">
        <v>0.84619999999999995</v>
      </c>
      <c r="O98" s="20">
        <v>4.1000000000000003E-3</v>
      </c>
      <c r="P98" s="20">
        <v>2.24E-2</v>
      </c>
    </row>
    <row r="99" spans="1:16" x14ac:dyDescent="0.25">
      <c r="A99" t="s">
        <v>42</v>
      </c>
      <c r="B99" s="15">
        <v>35</v>
      </c>
      <c r="C99" s="15">
        <v>3</v>
      </c>
      <c r="D99" s="14">
        <f t="shared" si="25"/>
        <v>38</v>
      </c>
      <c r="E99" s="20">
        <f>D99/D105</f>
        <v>0.15573770491803279</v>
      </c>
      <c r="F99" s="20">
        <f t="shared" si="23"/>
        <v>7.8947368421052627E-2</v>
      </c>
      <c r="G99" s="20">
        <f t="shared" si="24"/>
        <v>0.92105263157894735</v>
      </c>
      <c r="K99" t="s">
        <v>42</v>
      </c>
      <c r="L99" s="28">
        <v>2.4400000000000002E-2</v>
      </c>
      <c r="M99" s="28">
        <v>0.33329999999999999</v>
      </c>
      <c r="N99" s="28">
        <v>0.66669999999999996</v>
      </c>
      <c r="O99" s="20">
        <v>8.0999999999999996E-3</v>
      </c>
      <c r="P99" s="20">
        <v>1.6299999999999999E-2</v>
      </c>
    </row>
    <row r="100" spans="1:16" x14ac:dyDescent="0.25">
      <c r="A100" t="s">
        <v>29</v>
      </c>
      <c r="B100" s="15">
        <v>0</v>
      </c>
      <c r="C100" s="15">
        <v>14</v>
      </c>
      <c r="D100" s="14">
        <f t="shared" si="25"/>
        <v>14</v>
      </c>
      <c r="E100" s="20">
        <f>D100/D105</f>
        <v>5.737704918032787E-2</v>
      </c>
      <c r="F100" s="20">
        <f t="shared" si="23"/>
        <v>1</v>
      </c>
      <c r="G100" s="20">
        <f t="shared" si="24"/>
        <v>0</v>
      </c>
      <c r="K100" t="s">
        <v>29</v>
      </c>
      <c r="L100" s="28">
        <v>2.8500000000000001E-2</v>
      </c>
      <c r="M100" s="28">
        <v>0.85709999999999997</v>
      </c>
      <c r="N100" s="28">
        <v>0.1429</v>
      </c>
      <c r="O100" s="20">
        <v>2.4400000000000002E-2</v>
      </c>
      <c r="P100" s="20">
        <v>4.1000000000000003E-3</v>
      </c>
    </row>
    <row r="101" spans="1:16" x14ac:dyDescent="0.25">
      <c r="A101" t="s">
        <v>43</v>
      </c>
      <c r="B101" s="16">
        <v>3</v>
      </c>
      <c r="C101" s="16">
        <v>9</v>
      </c>
      <c r="D101" s="14">
        <f t="shared" si="25"/>
        <v>12</v>
      </c>
      <c r="E101" s="20">
        <f>D101/D105</f>
        <v>4.9180327868852458E-2</v>
      </c>
      <c r="F101" s="20">
        <f t="shared" si="23"/>
        <v>0.75</v>
      </c>
      <c r="G101" s="20">
        <f t="shared" si="24"/>
        <v>0.25</v>
      </c>
      <c r="K101" t="s">
        <v>43</v>
      </c>
      <c r="L101" s="28">
        <v>4.07E-2</v>
      </c>
      <c r="M101" s="28">
        <v>0.05</v>
      </c>
      <c r="N101" s="28">
        <v>0.95</v>
      </c>
      <c r="O101" s="20">
        <v>2E-3</v>
      </c>
      <c r="P101" s="20">
        <v>3.8600000000000002E-2</v>
      </c>
    </row>
    <row r="102" spans="1:16" x14ac:dyDescent="0.25">
      <c r="A102" t="s">
        <v>32</v>
      </c>
      <c r="B102" s="17">
        <v>34</v>
      </c>
      <c r="C102" s="17">
        <v>0</v>
      </c>
      <c r="D102" s="14">
        <f t="shared" si="25"/>
        <v>34</v>
      </c>
      <c r="E102" s="20">
        <f>D102/D105</f>
        <v>0.13934426229508196</v>
      </c>
      <c r="F102" s="20">
        <f t="shared" si="23"/>
        <v>0</v>
      </c>
      <c r="G102" s="20">
        <f t="shared" si="24"/>
        <v>1</v>
      </c>
      <c r="K102" t="s">
        <v>32</v>
      </c>
      <c r="L102" s="28">
        <v>0.124</v>
      </c>
      <c r="M102" s="28">
        <v>3.2800000000000003E-2</v>
      </c>
      <c r="N102" s="28">
        <v>0.96719999999999995</v>
      </c>
      <c r="O102" s="20">
        <v>4.1000000000000003E-3</v>
      </c>
      <c r="P102" s="20">
        <v>0.11990000000000001</v>
      </c>
    </row>
    <row r="103" spans="1:16" x14ac:dyDescent="0.25">
      <c r="A103" t="s">
        <v>44</v>
      </c>
      <c r="B103" s="17">
        <v>2</v>
      </c>
      <c r="C103" s="17">
        <v>0</v>
      </c>
      <c r="D103" s="14">
        <f t="shared" si="25"/>
        <v>2</v>
      </c>
      <c r="E103" s="20">
        <f>D103/D105</f>
        <v>8.1967213114754103E-3</v>
      </c>
      <c r="F103" s="20">
        <f t="shared" si="23"/>
        <v>0</v>
      </c>
      <c r="G103" s="20">
        <f t="shared" si="24"/>
        <v>1</v>
      </c>
      <c r="K103" t="s">
        <v>44</v>
      </c>
      <c r="L103" s="28">
        <v>0.56910000000000005</v>
      </c>
      <c r="M103" s="28">
        <v>0.2036</v>
      </c>
      <c r="N103" s="28">
        <v>0.7964</v>
      </c>
      <c r="O103" s="20">
        <v>0.1159</v>
      </c>
      <c r="P103" s="20">
        <v>0.45329999999999998</v>
      </c>
    </row>
    <row r="104" spans="1:16" x14ac:dyDescent="0.25">
      <c r="A104" s="19" t="s">
        <v>45</v>
      </c>
      <c r="B104" s="17">
        <v>4</v>
      </c>
      <c r="C104" s="17">
        <v>11</v>
      </c>
      <c r="D104" s="14">
        <f t="shared" si="25"/>
        <v>15</v>
      </c>
      <c r="E104" s="20">
        <f>D104/D105</f>
        <v>6.1475409836065573E-2</v>
      </c>
      <c r="F104" s="20">
        <f t="shared" si="23"/>
        <v>0.73333333333333328</v>
      </c>
      <c r="G104" s="20">
        <f t="shared" si="24"/>
        <v>0.26666666666666666</v>
      </c>
      <c r="K104" s="19" t="s">
        <v>45</v>
      </c>
      <c r="L104" s="28">
        <v>0</v>
      </c>
      <c r="M104" s="28">
        <v>0</v>
      </c>
      <c r="N104" s="28">
        <v>0</v>
      </c>
      <c r="O104" s="20">
        <v>0</v>
      </c>
      <c r="P104" s="20">
        <v>0</v>
      </c>
    </row>
    <row r="105" spans="1:16" x14ac:dyDescent="0.25">
      <c r="A105" s="12"/>
      <c r="B105" s="18">
        <f>SUM(B96:B104)</f>
        <v>176</v>
      </c>
      <c r="C105" s="18">
        <f>SUM(C96:C104)</f>
        <v>68</v>
      </c>
      <c r="D105" s="17">
        <f>SUM(B105:C105)</f>
        <v>244</v>
      </c>
      <c r="E105" s="22">
        <f>SUBTOTAL(109,E96:E104)</f>
        <v>1</v>
      </c>
      <c r="F105" s="23">
        <f>Table35678910[[#This Row],[KVK]]/Table35678910[[#This Row],[Alls]]</f>
        <v>0.27868852459016391</v>
      </c>
      <c r="G105" s="23">
        <f>Table35678910[[#This Row],[KK]]/Table35678910[[#This Row],[Alls]]</f>
        <v>0.72131147540983609</v>
      </c>
      <c r="K105" s="12"/>
      <c r="L105" s="22"/>
      <c r="M105" s="20">
        <v>0.21260000000000001</v>
      </c>
      <c r="N105" s="20">
        <v>0.78739999999999999</v>
      </c>
      <c r="O105" s="20">
        <v>0.21260000000000001</v>
      </c>
      <c r="P105" s="20">
        <v>0.78739999999999999</v>
      </c>
    </row>
    <row r="107" spans="1:16" x14ac:dyDescent="0.25">
      <c r="A107" s="3">
        <v>2015</v>
      </c>
      <c r="B107" s="17"/>
      <c r="C107" s="17"/>
      <c r="D107" s="22"/>
      <c r="E107" s="22"/>
      <c r="F107" s="13"/>
      <c r="G107" s="13"/>
      <c r="K107" s="8">
        <v>2015</v>
      </c>
      <c r="L107" s="8"/>
      <c r="M107"/>
      <c r="N107"/>
    </row>
    <row r="108" spans="1:16" x14ac:dyDescent="0.25">
      <c r="A108" s="24" t="s">
        <v>56</v>
      </c>
      <c r="B108" s="21" t="s">
        <v>38</v>
      </c>
      <c r="C108" s="21" t="s">
        <v>39</v>
      </c>
      <c r="D108" s="21" t="s">
        <v>25</v>
      </c>
      <c r="E108" s="1" t="s">
        <v>46</v>
      </c>
      <c r="F108" s="1" t="s">
        <v>48</v>
      </c>
      <c r="G108" s="1" t="s">
        <v>49</v>
      </c>
      <c r="K108" s="8" t="s">
        <v>78</v>
      </c>
      <c r="L108" s="1" t="s">
        <v>46</v>
      </c>
      <c r="M108" s="1" t="s">
        <v>48</v>
      </c>
      <c r="N108" s="1" t="s">
        <v>49</v>
      </c>
      <c r="O108" s="1" t="s">
        <v>87</v>
      </c>
      <c r="P108" s="1" t="s">
        <v>88</v>
      </c>
    </row>
    <row r="109" spans="1:16" x14ac:dyDescent="0.25">
      <c r="A109" t="s">
        <v>41</v>
      </c>
      <c r="B109" s="14">
        <v>33</v>
      </c>
      <c r="C109" s="14">
        <v>10</v>
      </c>
      <c r="D109" s="14">
        <f>SUM(B109:C109)</f>
        <v>43</v>
      </c>
      <c r="E109" s="20">
        <f>D109/D118</f>
        <v>0.16475095785440613</v>
      </c>
      <c r="F109" s="20">
        <f t="shared" ref="F109:F117" si="26">C109/D109</f>
        <v>0.23255813953488372</v>
      </c>
      <c r="G109" s="20">
        <f t="shared" ref="G109:G117" si="27">B109/D109</f>
        <v>0.76744186046511631</v>
      </c>
      <c r="K109" t="s">
        <v>41</v>
      </c>
      <c r="L109" s="28">
        <v>7.2700000000000001E-2</v>
      </c>
      <c r="M109" s="28">
        <v>0.16220000000000001</v>
      </c>
      <c r="N109" s="28">
        <v>0.83779999999999999</v>
      </c>
      <c r="O109" s="20">
        <v>1.18E-2</v>
      </c>
      <c r="P109" s="20">
        <v>6.0900000000000003E-2</v>
      </c>
    </row>
    <row r="110" spans="1:16" x14ac:dyDescent="0.25">
      <c r="A110" t="s">
        <v>27</v>
      </c>
      <c r="B110" s="14">
        <v>46</v>
      </c>
      <c r="C110" s="14">
        <v>22</v>
      </c>
      <c r="D110" s="14">
        <f t="shared" ref="D110:D117" si="28">SUM(B110:C110)</f>
        <v>68</v>
      </c>
      <c r="E110" s="20">
        <f>D110/D118</f>
        <v>0.26053639846743293</v>
      </c>
      <c r="F110" s="20">
        <f t="shared" si="26"/>
        <v>0.3235294117647059</v>
      </c>
      <c r="G110" s="20">
        <f t="shared" si="27"/>
        <v>0.67647058823529416</v>
      </c>
      <c r="K110" t="s">
        <v>27</v>
      </c>
      <c r="L110" s="28">
        <v>0.12770000000000001</v>
      </c>
      <c r="M110" s="28">
        <v>0.2923</v>
      </c>
      <c r="N110" s="28">
        <v>0.7077</v>
      </c>
      <c r="O110" s="20">
        <v>3.73E-2</v>
      </c>
      <c r="P110" s="20">
        <v>9.0399999999999994E-2</v>
      </c>
    </row>
    <row r="111" spans="1:16" x14ac:dyDescent="0.25">
      <c r="A111" t="s">
        <v>40</v>
      </c>
      <c r="B111" s="15">
        <v>21</v>
      </c>
      <c r="C111" s="15">
        <v>5</v>
      </c>
      <c r="D111" s="14">
        <f t="shared" si="28"/>
        <v>26</v>
      </c>
      <c r="E111" s="20">
        <f>D111/D118</f>
        <v>9.9616858237547887E-2</v>
      </c>
      <c r="F111" s="20">
        <f t="shared" si="26"/>
        <v>0.19230769230769232</v>
      </c>
      <c r="G111" s="20">
        <f t="shared" si="27"/>
        <v>0.80769230769230771</v>
      </c>
      <c r="K111" t="s">
        <v>40</v>
      </c>
      <c r="L111" s="28">
        <v>1.5699999999999999E-2</v>
      </c>
      <c r="M111" s="28">
        <v>0.125</v>
      </c>
      <c r="N111" s="28">
        <v>0.875</v>
      </c>
      <c r="O111" s="20">
        <v>2E-3</v>
      </c>
      <c r="P111" s="20">
        <v>1.38E-2</v>
      </c>
    </row>
    <row r="112" spans="1:16" x14ac:dyDescent="0.25">
      <c r="A112" t="s">
        <v>42</v>
      </c>
      <c r="B112" s="15">
        <v>12</v>
      </c>
      <c r="C112" s="15">
        <v>1</v>
      </c>
      <c r="D112" s="14">
        <f t="shared" si="28"/>
        <v>13</v>
      </c>
      <c r="E112" s="20">
        <f>D112/D118</f>
        <v>4.9808429118773943E-2</v>
      </c>
      <c r="F112" s="20">
        <f t="shared" si="26"/>
        <v>7.6923076923076927E-2</v>
      </c>
      <c r="G112" s="20">
        <f t="shared" si="27"/>
        <v>0.92307692307692313</v>
      </c>
      <c r="K112" t="s">
        <v>42</v>
      </c>
      <c r="L112" s="28">
        <v>2.1600000000000001E-2</v>
      </c>
      <c r="M112" s="28">
        <v>0.36359999999999998</v>
      </c>
      <c r="N112" s="28">
        <v>0.63639999999999997</v>
      </c>
      <c r="O112" s="20">
        <v>7.9000000000000008E-3</v>
      </c>
      <c r="P112" s="20">
        <v>1.38E-2</v>
      </c>
    </row>
    <row r="113" spans="1:16" x14ac:dyDescent="0.25">
      <c r="A113" t="s">
        <v>29</v>
      </c>
      <c r="B113" s="15">
        <v>0</v>
      </c>
      <c r="C113" s="15">
        <v>14</v>
      </c>
      <c r="D113" s="14">
        <f t="shared" si="28"/>
        <v>14</v>
      </c>
      <c r="E113" s="20">
        <f>D113/D118</f>
        <v>5.3639846743295021E-2</v>
      </c>
      <c r="F113" s="20">
        <f t="shared" si="26"/>
        <v>1</v>
      </c>
      <c r="G113" s="20">
        <f t="shared" si="27"/>
        <v>0</v>
      </c>
      <c r="K113" t="s">
        <v>29</v>
      </c>
      <c r="L113" s="28">
        <v>2.75E-2</v>
      </c>
      <c r="M113" s="28">
        <v>0.92859999999999998</v>
      </c>
      <c r="N113" s="28">
        <v>7.1400000000000005E-2</v>
      </c>
      <c r="O113" s="20">
        <v>2.5499999999999998E-2</v>
      </c>
      <c r="P113" s="20">
        <v>2E-3</v>
      </c>
    </row>
    <row r="114" spans="1:16" x14ac:dyDescent="0.25">
      <c r="A114" t="s">
        <v>43</v>
      </c>
      <c r="B114" s="16">
        <v>0</v>
      </c>
      <c r="C114" s="16">
        <v>0</v>
      </c>
      <c r="D114" s="14">
        <f t="shared" si="28"/>
        <v>0</v>
      </c>
      <c r="E114" s="20">
        <f>D114/D118</f>
        <v>0</v>
      </c>
      <c r="F114" s="20" t="e">
        <f t="shared" si="26"/>
        <v>#DIV/0!</v>
      </c>
      <c r="G114" s="20" t="e">
        <f t="shared" si="27"/>
        <v>#DIV/0!</v>
      </c>
      <c r="H114" s="25" t="s">
        <v>57</v>
      </c>
      <c r="K114" t="s">
        <v>43</v>
      </c>
      <c r="L114" s="28">
        <v>3.3399999999999999E-2</v>
      </c>
      <c r="M114" s="28">
        <v>5.8799999999999998E-2</v>
      </c>
      <c r="N114" s="28">
        <v>0.94120000000000004</v>
      </c>
      <c r="O114" s="20">
        <v>2E-3</v>
      </c>
      <c r="P114" s="20">
        <v>3.1399999999999997E-2</v>
      </c>
    </row>
    <row r="115" spans="1:16" x14ac:dyDescent="0.25">
      <c r="A115" t="s">
        <v>32</v>
      </c>
      <c r="B115" s="17">
        <v>72</v>
      </c>
      <c r="C115" s="17">
        <v>0</v>
      </c>
      <c r="D115" s="14">
        <f t="shared" si="28"/>
        <v>72</v>
      </c>
      <c r="E115" s="20">
        <f>D115/D118</f>
        <v>0.27586206896551724</v>
      </c>
      <c r="F115" s="20">
        <f t="shared" si="26"/>
        <v>0</v>
      </c>
      <c r="G115" s="20">
        <f t="shared" si="27"/>
        <v>1</v>
      </c>
      <c r="K115" t="s">
        <v>32</v>
      </c>
      <c r="L115" s="28">
        <v>0.1336</v>
      </c>
      <c r="M115" s="28">
        <v>8.8200000000000001E-2</v>
      </c>
      <c r="N115" s="28">
        <v>0.91180000000000005</v>
      </c>
      <c r="O115" s="20">
        <v>1.18E-2</v>
      </c>
      <c r="P115" s="20">
        <v>0.12180000000000001</v>
      </c>
    </row>
    <row r="116" spans="1:16" x14ac:dyDescent="0.25">
      <c r="A116" t="s">
        <v>44</v>
      </c>
      <c r="B116" s="17">
        <v>0</v>
      </c>
      <c r="C116" s="17">
        <v>0</v>
      </c>
      <c r="D116" s="14">
        <f t="shared" si="28"/>
        <v>0</v>
      </c>
      <c r="E116" s="20">
        <f>D116/D118</f>
        <v>0</v>
      </c>
      <c r="F116" s="20" t="e">
        <f t="shared" si="26"/>
        <v>#DIV/0!</v>
      </c>
      <c r="G116" s="20" t="e">
        <f t="shared" si="27"/>
        <v>#DIV/0!</v>
      </c>
      <c r="H116" s="25" t="s">
        <v>57</v>
      </c>
      <c r="K116" t="s">
        <v>44</v>
      </c>
      <c r="L116" s="28">
        <v>0.56779999999999997</v>
      </c>
      <c r="M116" s="28">
        <v>0.23530000000000001</v>
      </c>
      <c r="N116" s="28">
        <v>0.76470000000000005</v>
      </c>
      <c r="O116" s="20">
        <v>0.1336</v>
      </c>
      <c r="P116" s="20">
        <v>0.43419999999999997</v>
      </c>
    </row>
    <row r="117" spans="1:16" x14ac:dyDescent="0.25">
      <c r="A117" s="19" t="s">
        <v>45</v>
      </c>
      <c r="B117" s="17">
        <v>5</v>
      </c>
      <c r="C117" s="17">
        <v>20</v>
      </c>
      <c r="D117" s="14">
        <f t="shared" si="28"/>
        <v>25</v>
      </c>
      <c r="E117" s="20">
        <f>D117/D118</f>
        <v>9.5785440613026823E-2</v>
      </c>
      <c r="F117" s="20">
        <f t="shared" si="26"/>
        <v>0.8</v>
      </c>
      <c r="G117" s="20">
        <f t="shared" si="27"/>
        <v>0.2</v>
      </c>
      <c r="K117" s="19" t="s">
        <v>45</v>
      </c>
      <c r="L117" s="28">
        <v>0</v>
      </c>
      <c r="M117" s="28">
        <v>0</v>
      </c>
      <c r="N117" s="28">
        <v>0</v>
      </c>
      <c r="O117" s="20">
        <v>0</v>
      </c>
      <c r="P117" s="20">
        <v>0</v>
      </c>
    </row>
    <row r="118" spans="1:16" x14ac:dyDescent="0.25">
      <c r="A118" s="12"/>
      <c r="B118" s="18">
        <f>SUM(B109:B117)</f>
        <v>189</v>
      </c>
      <c r="C118" s="18">
        <f>SUM(C109:C117)</f>
        <v>72</v>
      </c>
      <c r="D118" s="17">
        <f>SUM(B118:C118)</f>
        <v>261</v>
      </c>
      <c r="E118" s="22">
        <f>SUBTOTAL(109,E109:E117)</f>
        <v>1</v>
      </c>
      <c r="F118" s="23">
        <f>Table3567891011[[#This Row],[KVK]]/Table3567891011[[#This Row],[Alls]]</f>
        <v>0.27586206896551724</v>
      </c>
      <c r="G118" s="23">
        <f>Table3567891011[[#This Row],[KK]]/Table3567891011[[#This Row],[Alls]]</f>
        <v>0.72413793103448276</v>
      </c>
      <c r="K118" s="12"/>
      <c r="L118" s="22"/>
      <c r="M118" s="20">
        <v>0.23180000000000001</v>
      </c>
      <c r="N118" s="20">
        <v>0.76819999999999999</v>
      </c>
      <c r="O118" s="20">
        <v>0.23180000000000001</v>
      </c>
      <c r="P118" s="20">
        <v>0.76819999999999999</v>
      </c>
    </row>
    <row r="120" spans="1:16" x14ac:dyDescent="0.25">
      <c r="A120" s="3">
        <v>2016</v>
      </c>
      <c r="B120" s="17"/>
      <c r="C120" s="17"/>
      <c r="D120" s="22"/>
      <c r="E120" s="22"/>
      <c r="F120" s="13"/>
      <c r="G120" s="13"/>
      <c r="K120" s="8">
        <v>2016</v>
      </c>
      <c r="L120" s="8"/>
      <c r="M120"/>
      <c r="N120"/>
    </row>
    <row r="121" spans="1:16" x14ac:dyDescent="0.25">
      <c r="A121" s="24" t="s">
        <v>58</v>
      </c>
      <c r="B121" s="21" t="s">
        <v>38</v>
      </c>
      <c r="C121" s="21" t="s">
        <v>39</v>
      </c>
      <c r="D121" s="21" t="s">
        <v>25</v>
      </c>
      <c r="E121" s="1" t="s">
        <v>46</v>
      </c>
      <c r="F121" s="1" t="s">
        <v>48</v>
      </c>
      <c r="G121" s="1" t="s">
        <v>49</v>
      </c>
      <c r="K121" s="8" t="s">
        <v>79</v>
      </c>
      <c r="L121" s="1" t="s">
        <v>46</v>
      </c>
      <c r="M121" s="1" t="s">
        <v>48</v>
      </c>
      <c r="N121" s="1" t="s">
        <v>49</v>
      </c>
      <c r="O121" s="1" t="s">
        <v>87</v>
      </c>
      <c r="P121" s="1" t="s">
        <v>88</v>
      </c>
    </row>
    <row r="122" spans="1:16" x14ac:dyDescent="0.25">
      <c r="A122" t="s">
        <v>41</v>
      </c>
      <c r="B122" s="14">
        <v>30</v>
      </c>
      <c r="C122" s="14">
        <v>11</v>
      </c>
      <c r="D122" s="14">
        <f>SUM(B122:C122)</f>
        <v>41</v>
      </c>
      <c r="E122" s="20">
        <f>D122/D128</f>
        <v>0.14963503649635038</v>
      </c>
      <c r="F122" s="20">
        <f t="shared" ref="F122:F127" si="29">C122/D122</f>
        <v>0.26829268292682928</v>
      </c>
      <c r="G122" s="20">
        <f t="shared" ref="G122:G127" si="30">B122/D122</f>
        <v>0.73170731707317072</v>
      </c>
      <c r="K122" t="s">
        <v>41</v>
      </c>
      <c r="L122" s="28">
        <v>6.6799999999999998E-2</v>
      </c>
      <c r="M122" s="28">
        <v>0.18920000000000001</v>
      </c>
      <c r="N122" s="28">
        <v>0.81079999999999997</v>
      </c>
      <c r="O122" s="20">
        <v>1.26E-2</v>
      </c>
      <c r="P122" s="20">
        <v>5.4199999999999998E-2</v>
      </c>
    </row>
    <row r="123" spans="1:16" x14ac:dyDescent="0.25">
      <c r="A123" t="s">
        <v>27</v>
      </c>
      <c r="B123" s="14">
        <v>77</v>
      </c>
      <c r="C123" s="14">
        <v>30</v>
      </c>
      <c r="D123" s="14">
        <f t="shared" ref="D123:D127" si="31">SUM(B123:C123)</f>
        <v>107</v>
      </c>
      <c r="E123" s="20">
        <f>D123/D128</f>
        <v>0.39051094890510951</v>
      </c>
      <c r="F123" s="20">
        <f t="shared" si="29"/>
        <v>0.28037383177570091</v>
      </c>
      <c r="G123" s="20">
        <f t="shared" si="30"/>
        <v>0.71962616822429903</v>
      </c>
      <c r="K123" t="s">
        <v>27</v>
      </c>
      <c r="L123" s="28">
        <v>0.13539999999999999</v>
      </c>
      <c r="M123" s="28">
        <v>0.29330000000000001</v>
      </c>
      <c r="N123" s="28">
        <v>0.70669999999999999</v>
      </c>
      <c r="O123" s="20">
        <v>3.9699999999999999E-2</v>
      </c>
      <c r="P123" s="20">
        <v>9.5699999999999993E-2</v>
      </c>
    </row>
    <row r="124" spans="1:16" x14ac:dyDescent="0.25">
      <c r="A124" t="s">
        <v>42</v>
      </c>
      <c r="B124" s="15">
        <v>11</v>
      </c>
      <c r="C124" s="15">
        <v>1</v>
      </c>
      <c r="D124" s="14">
        <f t="shared" si="31"/>
        <v>12</v>
      </c>
      <c r="E124" s="20">
        <f>D124/D128</f>
        <v>4.3795620437956206E-2</v>
      </c>
      <c r="F124" s="20">
        <f t="shared" si="29"/>
        <v>8.3333333333333329E-2</v>
      </c>
      <c r="G124" s="20">
        <f t="shared" si="30"/>
        <v>0.91666666666666663</v>
      </c>
      <c r="K124" t="s">
        <v>40</v>
      </c>
      <c r="L124" s="28">
        <v>1.26E-2</v>
      </c>
      <c r="M124" s="28">
        <v>0.1429</v>
      </c>
      <c r="N124" s="28">
        <v>0.85709999999999997</v>
      </c>
      <c r="O124" s="20">
        <v>1.8E-3</v>
      </c>
      <c r="P124" s="20">
        <v>1.0800000000000001E-2</v>
      </c>
    </row>
    <row r="125" spans="1:16" x14ac:dyDescent="0.25">
      <c r="A125" t="s">
        <v>29</v>
      </c>
      <c r="B125" s="15">
        <v>0</v>
      </c>
      <c r="C125" s="15">
        <v>15</v>
      </c>
      <c r="D125" s="14">
        <f t="shared" si="31"/>
        <v>15</v>
      </c>
      <c r="E125" s="20">
        <f>D125/D128</f>
        <v>5.4744525547445258E-2</v>
      </c>
      <c r="F125" s="20">
        <f t="shared" si="29"/>
        <v>1</v>
      </c>
      <c r="G125" s="20">
        <f t="shared" si="30"/>
        <v>0</v>
      </c>
      <c r="K125" t="s">
        <v>42</v>
      </c>
      <c r="L125" s="28">
        <v>1.44E-2</v>
      </c>
      <c r="M125" s="28">
        <v>0.25</v>
      </c>
      <c r="N125" s="28">
        <v>0.75</v>
      </c>
      <c r="O125" s="20">
        <v>3.5999999999999999E-3</v>
      </c>
      <c r="P125" s="20">
        <v>1.0800000000000001E-2</v>
      </c>
    </row>
    <row r="126" spans="1:16" x14ac:dyDescent="0.25">
      <c r="A126" t="s">
        <v>32</v>
      </c>
      <c r="B126" s="17">
        <v>72</v>
      </c>
      <c r="C126" s="17">
        <v>0</v>
      </c>
      <c r="D126" s="14">
        <f t="shared" si="31"/>
        <v>72</v>
      </c>
      <c r="E126" s="20">
        <f>D126/D128</f>
        <v>0.26277372262773724</v>
      </c>
      <c r="F126" s="20">
        <f t="shared" si="29"/>
        <v>0</v>
      </c>
      <c r="G126" s="20">
        <f t="shared" si="30"/>
        <v>1</v>
      </c>
      <c r="K126" t="s">
        <v>29</v>
      </c>
      <c r="L126" s="28">
        <v>1.8100000000000002E-2</v>
      </c>
      <c r="M126" s="28">
        <v>1</v>
      </c>
      <c r="N126" s="28">
        <v>0</v>
      </c>
      <c r="O126" s="20">
        <v>1.8100000000000002E-2</v>
      </c>
      <c r="P126" s="20">
        <v>0</v>
      </c>
    </row>
    <row r="127" spans="1:16" x14ac:dyDescent="0.25">
      <c r="A127" s="19" t="s">
        <v>45</v>
      </c>
      <c r="B127" s="17">
        <v>5</v>
      </c>
      <c r="C127" s="17">
        <v>22</v>
      </c>
      <c r="D127" s="14">
        <f t="shared" si="31"/>
        <v>27</v>
      </c>
      <c r="E127" s="20">
        <f>D127/D128</f>
        <v>9.8540145985401464E-2</v>
      </c>
      <c r="F127" s="20">
        <f t="shared" si="29"/>
        <v>0.81481481481481477</v>
      </c>
      <c r="G127" s="20">
        <f t="shared" si="30"/>
        <v>0.18518518518518517</v>
      </c>
      <c r="K127" t="s">
        <v>43</v>
      </c>
      <c r="L127" s="28">
        <v>1.26E-2</v>
      </c>
      <c r="M127" s="28">
        <v>0.1429</v>
      </c>
      <c r="N127" s="28">
        <v>0.85709999999999997</v>
      </c>
      <c r="O127" s="20">
        <v>1.8E-3</v>
      </c>
      <c r="P127" s="20">
        <v>1.0800000000000001E-2</v>
      </c>
    </row>
    <row r="128" spans="1:16" x14ac:dyDescent="0.25">
      <c r="A128" s="12"/>
      <c r="B128" s="18">
        <f>SUM(B122:B127)</f>
        <v>195</v>
      </c>
      <c r="C128" s="18">
        <f>SUM(C122:C127)</f>
        <v>79</v>
      </c>
      <c r="D128" s="17">
        <f>SUM(B128:C128)</f>
        <v>274</v>
      </c>
      <c r="E128" s="22">
        <f>SUBTOTAL(109,E122:E127)</f>
        <v>1</v>
      </c>
      <c r="F128" s="23">
        <f>Table356789101112[[#This Row],[KVK]]/Table356789101112[[#This Row],[Alls]]</f>
        <v>0.28832116788321166</v>
      </c>
      <c r="G128" s="23">
        <f>Table356789101112[[#This Row],[KK]]/Table356789101112[[#This Row],[Alls]]</f>
        <v>0.71167883211678828</v>
      </c>
      <c r="K128" t="s">
        <v>32</v>
      </c>
      <c r="L128" s="28">
        <v>0.1462</v>
      </c>
      <c r="M128" s="28">
        <v>9.8799999999999999E-2</v>
      </c>
      <c r="N128" s="28">
        <v>0.9012</v>
      </c>
      <c r="O128" s="20">
        <v>1.44E-2</v>
      </c>
      <c r="P128" s="20">
        <v>0.1318</v>
      </c>
    </row>
    <row r="129" spans="1:19" x14ac:dyDescent="0.25">
      <c r="K129" t="s">
        <v>44</v>
      </c>
      <c r="L129" s="28">
        <v>0.59389999999999998</v>
      </c>
      <c r="M129" s="28">
        <v>0.25840000000000002</v>
      </c>
      <c r="N129" s="28">
        <v>0.74160000000000004</v>
      </c>
      <c r="O129" s="20">
        <v>0.15340000000000001</v>
      </c>
      <c r="P129" s="20">
        <v>0.44040000000000001</v>
      </c>
    </row>
    <row r="130" spans="1:19" ht="15.75" x14ac:dyDescent="0.25">
      <c r="A130" s="26" t="s">
        <v>59</v>
      </c>
      <c r="K130" s="19" t="s">
        <v>45</v>
      </c>
      <c r="L130" s="28">
        <v>0</v>
      </c>
      <c r="M130" s="28">
        <v>0</v>
      </c>
      <c r="N130" s="28">
        <v>0</v>
      </c>
      <c r="O130" s="20">
        <v>0</v>
      </c>
      <c r="P130" s="20">
        <v>0</v>
      </c>
    </row>
    <row r="131" spans="1:19" x14ac:dyDescent="0.25">
      <c r="K131" s="12"/>
      <c r="L131" s="22"/>
      <c r="M131" s="20">
        <v>0.2455</v>
      </c>
      <c r="N131" s="20">
        <v>0.75449999999999995</v>
      </c>
      <c r="O131" s="20">
        <v>0.2455</v>
      </c>
      <c r="P131" s="20">
        <v>0.75449999999999995</v>
      </c>
    </row>
    <row r="132" spans="1:19" x14ac:dyDescent="0.25">
      <c r="A132" s="3">
        <v>2017</v>
      </c>
      <c r="B132" s="17"/>
      <c r="C132" s="17"/>
      <c r="D132" s="22"/>
      <c r="E132" s="22"/>
      <c r="F132" s="13"/>
      <c r="G132" s="13"/>
    </row>
    <row r="133" spans="1:19" x14ac:dyDescent="0.25">
      <c r="A133" s="24" t="s">
        <v>60</v>
      </c>
      <c r="B133" s="21" t="s">
        <v>38</v>
      </c>
      <c r="C133" s="21" t="s">
        <v>39</v>
      </c>
      <c r="D133" s="21" t="s">
        <v>25</v>
      </c>
      <c r="E133" s="1" t="s">
        <v>46</v>
      </c>
      <c r="F133" s="1" t="s">
        <v>48</v>
      </c>
      <c r="G133" s="1" t="s">
        <v>49</v>
      </c>
      <c r="K133" s="3">
        <v>2017</v>
      </c>
      <c r="L133" s="17"/>
      <c r="M133" s="17"/>
      <c r="N133" s="22"/>
      <c r="O133" s="22"/>
      <c r="P133" s="13"/>
      <c r="Q133" s="13"/>
    </row>
    <row r="134" spans="1:19" x14ac:dyDescent="0.25">
      <c r="A134" t="s">
        <v>41</v>
      </c>
      <c r="B134" s="14">
        <v>28</v>
      </c>
      <c r="C134" s="14">
        <v>11</v>
      </c>
      <c r="D134" s="14">
        <f>SUM(B134:C134)</f>
        <v>39</v>
      </c>
      <c r="E134" s="20">
        <f>D134/D139</f>
        <v>0.13131313131313133</v>
      </c>
      <c r="F134" s="20">
        <f>C134/D134</f>
        <v>0.28205128205128205</v>
      </c>
      <c r="G134" s="20">
        <f>B134/D134</f>
        <v>0.71794871794871795</v>
      </c>
      <c r="K134" s="24" t="s">
        <v>80</v>
      </c>
      <c r="L134" s="21" t="s">
        <v>38</v>
      </c>
      <c r="M134" s="21" t="s">
        <v>39</v>
      </c>
      <c r="N134" s="21" t="s">
        <v>25</v>
      </c>
      <c r="O134" s="1" t="s">
        <v>46</v>
      </c>
      <c r="P134" s="1" t="s">
        <v>48</v>
      </c>
      <c r="Q134" s="1" t="s">
        <v>49</v>
      </c>
      <c r="R134" s="1" t="s">
        <v>87</v>
      </c>
      <c r="S134" s="1" t="s">
        <v>88</v>
      </c>
    </row>
    <row r="135" spans="1:19" x14ac:dyDescent="0.25">
      <c r="A135" t="s">
        <v>27</v>
      </c>
      <c r="B135" s="14">
        <v>79</v>
      </c>
      <c r="C135" s="14">
        <v>40</v>
      </c>
      <c r="D135" s="14">
        <f t="shared" ref="D135:D138" si="32">SUM(B135:C135)</f>
        <v>119</v>
      </c>
      <c r="E135" s="20">
        <f>D135/D139</f>
        <v>0.40067340067340068</v>
      </c>
      <c r="F135" s="20">
        <f>C135/D135</f>
        <v>0.33613445378151263</v>
      </c>
      <c r="G135" s="20">
        <f>B135/D135</f>
        <v>0.66386554621848737</v>
      </c>
      <c r="K135" t="s">
        <v>41</v>
      </c>
      <c r="L135" s="14">
        <v>30</v>
      </c>
      <c r="M135" s="14">
        <v>5</v>
      </c>
      <c r="N135" s="14">
        <f>SUM(L135:M135)</f>
        <v>35</v>
      </c>
      <c r="O135" s="20">
        <f>N135/N143</f>
        <v>6.4338235294117641E-2</v>
      </c>
      <c r="P135" s="20">
        <f t="shared" ref="P135:P142" si="33">M135/N135</f>
        <v>0.14285714285714285</v>
      </c>
      <c r="Q135" s="20">
        <f t="shared" ref="Q135:Q142" si="34">L135/N135</f>
        <v>0.8571428571428571</v>
      </c>
      <c r="R135" s="20">
        <f>Table35678930[[#This Row],[KVK]]/$N$143</f>
        <v>9.1911764705882356E-3</v>
      </c>
      <c r="S135" s="20">
        <f>Table35678930[[#This Row],[KK]]/$N$143</f>
        <v>5.514705882352941E-2</v>
      </c>
    </row>
    <row r="136" spans="1:19" x14ac:dyDescent="0.25">
      <c r="A136" t="s">
        <v>29</v>
      </c>
      <c r="B136" s="15">
        <v>0</v>
      </c>
      <c r="C136" s="15">
        <v>23</v>
      </c>
      <c r="D136" s="14">
        <f t="shared" si="32"/>
        <v>23</v>
      </c>
      <c r="E136" s="20">
        <f>D136/D139</f>
        <v>7.7441077441077436E-2</v>
      </c>
      <c r="F136" s="20">
        <f>C136/D136</f>
        <v>1</v>
      </c>
      <c r="G136" s="20">
        <f>B136/D136</f>
        <v>0</v>
      </c>
      <c r="K136" t="s">
        <v>27</v>
      </c>
      <c r="L136" s="14">
        <v>52</v>
      </c>
      <c r="M136" s="14">
        <v>22</v>
      </c>
      <c r="N136" s="14">
        <f t="shared" ref="N136:N142" si="35">SUM(L136:M136)</f>
        <v>74</v>
      </c>
      <c r="O136" s="20">
        <f>N136/N143</f>
        <v>0.13602941176470587</v>
      </c>
      <c r="P136" s="20">
        <f t="shared" si="33"/>
        <v>0.29729729729729731</v>
      </c>
      <c r="Q136" s="20">
        <f t="shared" si="34"/>
        <v>0.70270270270270274</v>
      </c>
      <c r="R136" s="20">
        <f>Table35678930[[#This Row],[KVK]]/$N$143</f>
        <v>4.0441176470588237E-2</v>
      </c>
      <c r="S136" s="20">
        <f>Table35678930[[#This Row],[KK]]/$N$143</f>
        <v>9.5588235294117641E-2</v>
      </c>
    </row>
    <row r="137" spans="1:19" x14ac:dyDescent="0.25">
      <c r="A137" t="s">
        <v>32</v>
      </c>
      <c r="B137" s="17">
        <v>90</v>
      </c>
      <c r="C137" s="17">
        <v>0</v>
      </c>
      <c r="D137" s="14">
        <f t="shared" si="32"/>
        <v>90</v>
      </c>
      <c r="E137" s="20">
        <f>D137/D139</f>
        <v>0.30303030303030304</v>
      </c>
      <c r="F137" s="20">
        <f>C137/D137</f>
        <v>0</v>
      </c>
      <c r="G137" s="20">
        <f>B137/D137</f>
        <v>1</v>
      </c>
      <c r="K137" t="s">
        <v>40</v>
      </c>
      <c r="L137" s="15">
        <v>4</v>
      </c>
      <c r="M137" s="15">
        <v>1</v>
      </c>
      <c r="N137" s="14">
        <f t="shared" si="35"/>
        <v>5</v>
      </c>
      <c r="O137" s="20">
        <f>N137/N143</f>
        <v>9.1911764705882356E-3</v>
      </c>
      <c r="P137" s="20">
        <f t="shared" si="33"/>
        <v>0.2</v>
      </c>
      <c r="Q137" s="20">
        <f t="shared" si="34"/>
        <v>0.8</v>
      </c>
      <c r="R137" s="20">
        <f>Table35678930[[#This Row],[KVK]]/$N$143</f>
        <v>1.838235294117647E-3</v>
      </c>
      <c r="S137" s="20">
        <f>Table35678930[[#This Row],[KK]]/$N$143</f>
        <v>7.3529411764705881E-3</v>
      </c>
    </row>
    <row r="138" spans="1:19" x14ac:dyDescent="0.25">
      <c r="A138" s="19" t="s">
        <v>45</v>
      </c>
      <c r="B138" s="17">
        <v>4</v>
      </c>
      <c r="C138" s="17">
        <v>22</v>
      </c>
      <c r="D138" s="14">
        <f t="shared" si="32"/>
        <v>26</v>
      </c>
      <c r="E138" s="20">
        <f>D138/D139</f>
        <v>8.7542087542087546E-2</v>
      </c>
      <c r="F138" s="20">
        <f>C138/D138</f>
        <v>0.84615384615384615</v>
      </c>
      <c r="G138" s="20">
        <f>B138/D138</f>
        <v>0.15384615384615385</v>
      </c>
      <c r="K138" t="s">
        <v>42</v>
      </c>
      <c r="L138" s="15">
        <v>6</v>
      </c>
      <c r="M138" s="15">
        <v>2</v>
      </c>
      <c r="N138" s="14">
        <f t="shared" si="35"/>
        <v>8</v>
      </c>
      <c r="O138" s="20">
        <f>N138/N143</f>
        <v>1.4705882352941176E-2</v>
      </c>
      <c r="P138" s="20">
        <f t="shared" si="33"/>
        <v>0.25</v>
      </c>
      <c r="Q138" s="20">
        <f t="shared" si="34"/>
        <v>0.75</v>
      </c>
      <c r="R138" s="20">
        <f>Table35678930[[#This Row],[KVK]]/$N$143</f>
        <v>3.6764705882352941E-3</v>
      </c>
      <c r="S138" s="20">
        <f>Table35678930[[#This Row],[KK]]/$N$143</f>
        <v>1.1029411764705883E-2</v>
      </c>
    </row>
    <row r="139" spans="1:19" x14ac:dyDescent="0.25">
      <c r="A139" s="12"/>
      <c r="B139" s="18">
        <f>SUM(B134:B138)</f>
        <v>201</v>
      </c>
      <c r="C139" s="18">
        <f>SUM(C134:C138)</f>
        <v>96</v>
      </c>
      <c r="D139" s="17">
        <f>SUM(B139:C139)</f>
        <v>297</v>
      </c>
      <c r="E139" s="22">
        <f>SUBTOTAL(109,E134:E138)</f>
        <v>1</v>
      </c>
      <c r="F139" s="23">
        <f>Table35678910111213[[#This Row],[KVK]]/Table35678910111213[[#This Row],[Alls]]</f>
        <v>0.32323232323232326</v>
      </c>
      <c r="G139" s="23">
        <f>Table35678910111213[[#This Row],[KK]]/Table35678910111213[[#This Row],[Alls]]</f>
        <v>0.6767676767676768</v>
      </c>
      <c r="K139" t="s">
        <v>29</v>
      </c>
      <c r="L139" s="15">
        <v>0</v>
      </c>
      <c r="M139" s="15">
        <v>10</v>
      </c>
      <c r="N139" s="14">
        <f t="shared" si="35"/>
        <v>10</v>
      </c>
      <c r="O139" s="20">
        <f>N139/N143</f>
        <v>1.8382352941176471E-2</v>
      </c>
      <c r="P139" s="20">
        <f t="shared" si="33"/>
        <v>1</v>
      </c>
      <c r="Q139" s="20">
        <f t="shared" si="34"/>
        <v>0</v>
      </c>
      <c r="R139" s="20">
        <f>Table35678930[[#This Row],[KVK]]/$N$143</f>
        <v>1.8382352941176471E-2</v>
      </c>
      <c r="S139" s="20">
        <f>Table35678930[[#This Row],[KK]]/$N$143</f>
        <v>0</v>
      </c>
    </row>
    <row r="140" spans="1:19" x14ac:dyDescent="0.25">
      <c r="K140" t="s">
        <v>43</v>
      </c>
      <c r="L140" s="16">
        <v>5</v>
      </c>
      <c r="M140" s="16">
        <v>1</v>
      </c>
      <c r="N140" s="14">
        <f t="shared" si="35"/>
        <v>6</v>
      </c>
      <c r="O140" s="20">
        <f>N140/N143</f>
        <v>1.1029411764705883E-2</v>
      </c>
      <c r="P140" s="20">
        <f t="shared" si="33"/>
        <v>0.16666666666666666</v>
      </c>
      <c r="Q140" s="20">
        <f t="shared" si="34"/>
        <v>0.83333333333333337</v>
      </c>
      <c r="R140" s="20">
        <f>Table35678930[[#This Row],[KVK]]/$N$143</f>
        <v>1.838235294117647E-3</v>
      </c>
      <c r="S140" s="20">
        <f>Table35678930[[#This Row],[KK]]/$N$143</f>
        <v>9.1911764705882356E-3</v>
      </c>
    </row>
    <row r="141" spans="1:19" x14ac:dyDescent="0.25">
      <c r="A141" s="3" t="s">
        <v>61</v>
      </c>
      <c r="K141" t="s">
        <v>32</v>
      </c>
      <c r="L141" s="17">
        <v>68</v>
      </c>
      <c r="M141" s="17">
        <v>5</v>
      </c>
      <c r="N141" s="14">
        <f t="shared" si="35"/>
        <v>73</v>
      </c>
      <c r="O141" s="20">
        <f>N141/N143</f>
        <v>0.13419117647058823</v>
      </c>
      <c r="P141" s="20">
        <f t="shared" si="33"/>
        <v>6.8493150684931503E-2</v>
      </c>
      <c r="Q141" s="20">
        <f t="shared" si="34"/>
        <v>0.93150684931506844</v>
      </c>
      <c r="R141" s="20">
        <f>Table35678930[[#This Row],[KVK]]/$N$143</f>
        <v>9.1911764705882356E-3</v>
      </c>
      <c r="S141" s="20">
        <f>Table35678930[[#This Row],[KK]]/$N$143</f>
        <v>0.125</v>
      </c>
    </row>
    <row r="142" spans="1:19" x14ac:dyDescent="0.25">
      <c r="K142" t="s">
        <v>44</v>
      </c>
      <c r="L142" s="17">
        <v>249</v>
      </c>
      <c r="M142" s="17">
        <v>84</v>
      </c>
      <c r="N142" s="14">
        <f t="shared" si="35"/>
        <v>333</v>
      </c>
      <c r="O142" s="20">
        <f>N142/N143</f>
        <v>0.61213235294117652</v>
      </c>
      <c r="P142" s="20">
        <f t="shared" si="33"/>
        <v>0.25225225225225223</v>
      </c>
      <c r="Q142" s="20">
        <f t="shared" si="34"/>
        <v>0.74774774774774777</v>
      </c>
      <c r="R142" s="20">
        <f>Table35678930[[#This Row],[KVK]]/$N$143</f>
        <v>0.15441176470588236</v>
      </c>
      <c r="S142" s="20">
        <f>Table35678930[[#This Row],[KK]]/$N$143</f>
        <v>0.4577205882352941</v>
      </c>
    </row>
    <row r="143" spans="1:19" x14ac:dyDescent="0.25">
      <c r="A143" s="3">
        <v>2018</v>
      </c>
      <c r="B143" s="17"/>
      <c r="C143" s="17"/>
      <c r="D143" s="22"/>
      <c r="E143" s="22"/>
      <c r="F143" s="13"/>
      <c r="G143" s="13"/>
      <c r="K143" s="12"/>
      <c r="L143" s="18">
        <f>SUM(L135:L142)</f>
        <v>414</v>
      </c>
      <c r="M143" s="18">
        <f>SUM(M135:M142)</f>
        <v>130</v>
      </c>
      <c r="N143" s="17">
        <f>SUM(L143:M143)</f>
        <v>544</v>
      </c>
      <c r="O143" s="22">
        <f>SUBTOTAL(109,O135:O142)</f>
        <v>1</v>
      </c>
      <c r="P143" s="20">
        <f>Table35678930[[#This Row],[KVK]]/$N$143</f>
        <v>0.23897058823529413</v>
      </c>
      <c r="Q143" s="20">
        <f>Table35678930[[#This Row],[KK]]/$N$143</f>
        <v>0.76102941176470584</v>
      </c>
      <c r="R143" s="20">
        <f>Table35678930[[#This Row],[KVK]]/$N$143</f>
        <v>0.23897058823529413</v>
      </c>
      <c r="S143" s="20">
        <f>Table35678930[[#This Row],[KK]]/$N$143</f>
        <v>0.76102941176470584</v>
      </c>
    </row>
    <row r="144" spans="1:19" x14ac:dyDescent="0.25">
      <c r="A144" s="24" t="s">
        <v>62</v>
      </c>
      <c r="B144" s="21" t="s">
        <v>38</v>
      </c>
      <c r="C144" s="21" t="s">
        <v>39</v>
      </c>
      <c r="D144" s="21" t="s">
        <v>25</v>
      </c>
      <c r="E144" s="1" t="s">
        <v>46</v>
      </c>
      <c r="F144" s="1" t="s">
        <v>48</v>
      </c>
      <c r="G144" s="1" t="s">
        <v>49</v>
      </c>
    </row>
    <row r="145" spans="1:16" x14ac:dyDescent="0.25">
      <c r="A145" t="s">
        <v>41</v>
      </c>
      <c r="B145" s="14">
        <v>28</v>
      </c>
      <c r="C145" s="14">
        <v>10</v>
      </c>
      <c r="D145" s="14">
        <f>SUM(B145:C145)</f>
        <v>38</v>
      </c>
      <c r="E145" s="20">
        <f>D145/D150</f>
        <v>0.1357142857142857</v>
      </c>
      <c r="F145" s="20">
        <f>C145/D145</f>
        <v>0.26315789473684209</v>
      </c>
      <c r="G145" s="20">
        <f>B145/D145</f>
        <v>0.73684210526315785</v>
      </c>
      <c r="K145" s="8">
        <v>2018</v>
      </c>
      <c r="L145" s="8"/>
      <c r="M145"/>
      <c r="N145"/>
    </row>
    <row r="146" spans="1:16" x14ac:dyDescent="0.25">
      <c r="A146" t="s">
        <v>27</v>
      </c>
      <c r="B146" s="14">
        <v>82</v>
      </c>
      <c r="C146" s="14">
        <v>34</v>
      </c>
      <c r="D146" s="14">
        <f t="shared" ref="D146:D149" si="36">SUM(B146:C146)</f>
        <v>116</v>
      </c>
      <c r="E146" s="20">
        <f>D146/D150</f>
        <v>0.41428571428571431</v>
      </c>
      <c r="F146" s="20">
        <f>C146/D146</f>
        <v>0.29310344827586204</v>
      </c>
      <c r="G146" s="20">
        <f>B146/D146</f>
        <v>0.7068965517241379</v>
      </c>
      <c r="K146" s="8" t="s">
        <v>81</v>
      </c>
      <c r="L146" s="1" t="s">
        <v>46</v>
      </c>
      <c r="M146" s="1" t="s">
        <v>48</v>
      </c>
      <c r="N146" s="1" t="s">
        <v>49</v>
      </c>
      <c r="O146" s="1" t="s">
        <v>87</v>
      </c>
      <c r="P146" s="1" t="s">
        <v>88</v>
      </c>
    </row>
    <row r="147" spans="1:16" x14ac:dyDescent="0.25">
      <c r="A147" t="s">
        <v>29</v>
      </c>
      <c r="B147" s="15">
        <v>0</v>
      </c>
      <c r="C147" s="15">
        <v>20</v>
      </c>
      <c r="D147" s="14">
        <f t="shared" si="36"/>
        <v>20</v>
      </c>
      <c r="E147" s="20">
        <f>D147/D150</f>
        <v>7.1428571428571425E-2</v>
      </c>
      <c r="F147" s="20">
        <f>C147/D147</f>
        <v>1</v>
      </c>
      <c r="G147" s="20">
        <f>B147/D147</f>
        <v>0</v>
      </c>
      <c r="K147" t="s">
        <v>41</v>
      </c>
      <c r="L147" s="28">
        <v>6.3200000000000006E-2</v>
      </c>
      <c r="M147" s="28">
        <v>0.17649999999999999</v>
      </c>
      <c r="N147" s="28">
        <v>0.82350000000000001</v>
      </c>
      <c r="O147" s="20">
        <v>1.12E-2</v>
      </c>
      <c r="P147" s="20">
        <v>5.1999999999999998E-2</v>
      </c>
    </row>
    <row r="148" spans="1:16" x14ac:dyDescent="0.25">
      <c r="A148" t="s">
        <v>32</v>
      </c>
      <c r="B148" s="17">
        <v>83</v>
      </c>
      <c r="C148" s="17">
        <v>0</v>
      </c>
      <c r="D148" s="14">
        <f t="shared" si="36"/>
        <v>83</v>
      </c>
      <c r="E148" s="20">
        <f>D148/D150</f>
        <v>0.29642857142857143</v>
      </c>
      <c r="F148" s="20">
        <f>C148/D148</f>
        <v>0</v>
      </c>
      <c r="G148" s="20">
        <f>B148/D148</f>
        <v>1</v>
      </c>
      <c r="K148" t="s">
        <v>27</v>
      </c>
      <c r="L148" s="28">
        <v>0.13009999999999999</v>
      </c>
      <c r="M148" s="28">
        <v>0.28570000000000001</v>
      </c>
      <c r="N148" s="28">
        <v>0.71430000000000005</v>
      </c>
      <c r="O148" s="20">
        <v>3.7199999999999997E-2</v>
      </c>
      <c r="P148" s="20">
        <v>9.2899999999999996E-2</v>
      </c>
    </row>
    <row r="149" spans="1:16" x14ac:dyDescent="0.25">
      <c r="A149" s="19" t="s">
        <v>64</v>
      </c>
      <c r="B149" s="17">
        <v>4</v>
      </c>
      <c r="C149" s="17">
        <v>19</v>
      </c>
      <c r="D149" s="14">
        <f t="shared" si="36"/>
        <v>23</v>
      </c>
      <c r="E149" s="20">
        <f>D149/D150</f>
        <v>8.2142857142857142E-2</v>
      </c>
      <c r="F149" s="20">
        <f>C149/D149</f>
        <v>0.82608695652173914</v>
      </c>
      <c r="G149" s="20">
        <f>B149/D149</f>
        <v>0.17391304347826086</v>
      </c>
      <c r="K149" t="s">
        <v>40</v>
      </c>
      <c r="L149" s="28">
        <v>9.2999999999999992E-3</v>
      </c>
      <c r="M149" s="28">
        <v>0.2</v>
      </c>
      <c r="N149" s="28">
        <v>0.8</v>
      </c>
      <c r="O149" s="20">
        <v>1.9E-3</v>
      </c>
      <c r="P149" s="20">
        <v>7.4000000000000003E-3</v>
      </c>
    </row>
    <row r="150" spans="1:16" x14ac:dyDescent="0.25">
      <c r="A150" s="12"/>
      <c r="B150" s="18">
        <f>SUM(B145:B149)</f>
        <v>197</v>
      </c>
      <c r="C150" s="18">
        <f>SUM(C145:C149)</f>
        <v>83</v>
      </c>
      <c r="D150" s="17">
        <f>SUM(B150:C150)</f>
        <v>280</v>
      </c>
      <c r="E150" s="22">
        <f>SUBTOTAL(109,E145:E149)</f>
        <v>1</v>
      </c>
      <c r="F150" s="23">
        <f>Table3567891011121314[[#This Row],[KVK]]/Table3567891011121314[[#This Row],[Alls]]</f>
        <v>0.29642857142857143</v>
      </c>
      <c r="G150" s="23">
        <f>Table3567891011121314[[#This Row],[KK]]/Table3567891011121314[[#This Row],[Alls]]</f>
        <v>0.70357142857142863</v>
      </c>
      <c r="K150" t="s">
        <v>42</v>
      </c>
      <c r="L150" s="28">
        <v>1.2999999999999999E-2</v>
      </c>
      <c r="M150" s="28">
        <v>0.1429</v>
      </c>
      <c r="N150" s="28">
        <v>0.85709999999999997</v>
      </c>
      <c r="O150" s="20">
        <v>1.9E-3</v>
      </c>
      <c r="P150" s="20">
        <v>1.12E-2</v>
      </c>
    </row>
    <row r="151" spans="1:16" x14ac:dyDescent="0.25">
      <c r="K151" t="s">
        <v>29</v>
      </c>
      <c r="L151" s="28">
        <v>2.4199999999999999E-2</v>
      </c>
      <c r="M151" s="28">
        <v>0.84619999999999995</v>
      </c>
      <c r="N151" s="28">
        <v>0.15379999999999999</v>
      </c>
      <c r="O151" s="20">
        <v>2.0400000000000001E-2</v>
      </c>
      <c r="P151" s="20">
        <v>3.7000000000000002E-3</v>
      </c>
    </row>
    <row r="152" spans="1:16" ht="15" customHeight="1" x14ac:dyDescent="0.25">
      <c r="A152" s="32" t="s">
        <v>63</v>
      </c>
      <c r="B152" s="32"/>
      <c r="C152" s="32"/>
      <c r="D152" s="32"/>
      <c r="E152" s="32"/>
      <c r="F152" s="32"/>
      <c r="G152" s="32"/>
      <c r="K152" t="s">
        <v>43</v>
      </c>
      <c r="L152" s="28">
        <v>7.4000000000000003E-3</v>
      </c>
      <c r="M152" s="28">
        <v>0.25</v>
      </c>
      <c r="N152" s="28">
        <v>0.75</v>
      </c>
      <c r="O152" s="20">
        <v>1.9E-3</v>
      </c>
      <c r="P152" s="20">
        <v>5.5999999999999999E-3</v>
      </c>
    </row>
    <row r="153" spans="1:16" x14ac:dyDescent="0.25">
      <c r="A153" s="27"/>
      <c r="B153" s="27"/>
      <c r="C153" s="27"/>
      <c r="D153" s="27"/>
      <c r="E153" s="27"/>
      <c r="F153" s="27"/>
      <c r="G153" s="27"/>
      <c r="K153" t="s">
        <v>32</v>
      </c>
      <c r="L153" s="28">
        <v>0.1338</v>
      </c>
      <c r="M153" s="28">
        <v>0.25</v>
      </c>
      <c r="N153" s="28">
        <v>0.75</v>
      </c>
      <c r="O153" s="20">
        <v>9.2999999999999992E-3</v>
      </c>
      <c r="P153" s="20">
        <v>0.1245</v>
      </c>
    </row>
    <row r="154" spans="1:16" x14ac:dyDescent="0.25">
      <c r="A154" s="3">
        <v>2019</v>
      </c>
      <c r="B154" s="17"/>
      <c r="C154" s="17"/>
      <c r="D154" s="22"/>
      <c r="E154" s="22"/>
      <c r="F154" s="13"/>
      <c r="G154" s="13"/>
      <c r="K154" t="s">
        <v>44</v>
      </c>
      <c r="L154" s="28">
        <v>0.61899999999999999</v>
      </c>
      <c r="M154" s="28">
        <v>6.9400000000000003E-2</v>
      </c>
      <c r="N154" s="28">
        <v>0.93059999999999998</v>
      </c>
      <c r="O154" s="20">
        <v>0.13569999999999999</v>
      </c>
      <c r="P154" s="20">
        <v>0.48330000000000001</v>
      </c>
    </row>
    <row r="155" spans="1:16" x14ac:dyDescent="0.25">
      <c r="A155" s="24" t="s">
        <v>65</v>
      </c>
      <c r="B155" s="21" t="s">
        <v>38</v>
      </c>
      <c r="C155" s="21" t="s">
        <v>39</v>
      </c>
      <c r="D155" s="21" t="s">
        <v>25</v>
      </c>
      <c r="E155" s="1" t="s">
        <v>46</v>
      </c>
      <c r="F155" s="1" t="s">
        <v>48</v>
      </c>
      <c r="G155" s="1" t="s">
        <v>49</v>
      </c>
      <c r="K155" s="19" t="s">
        <v>45</v>
      </c>
      <c r="L155" s="28">
        <v>0</v>
      </c>
      <c r="M155" s="28">
        <v>0</v>
      </c>
      <c r="N155" s="28">
        <v>0</v>
      </c>
      <c r="O155" s="20">
        <v>0</v>
      </c>
      <c r="P155" s="20">
        <v>0</v>
      </c>
    </row>
    <row r="156" spans="1:16" x14ac:dyDescent="0.25">
      <c r="A156" t="s">
        <v>41</v>
      </c>
      <c r="B156" s="14">
        <v>27</v>
      </c>
      <c r="C156" s="14">
        <v>12</v>
      </c>
      <c r="D156" s="14">
        <f>SUM(B156:C156)</f>
        <v>39</v>
      </c>
      <c r="E156" s="20">
        <f>D156/D161</f>
        <v>0.13732394366197184</v>
      </c>
      <c r="F156" s="20">
        <f>C156/D156</f>
        <v>0.30769230769230771</v>
      </c>
      <c r="G156" s="20">
        <f>B156/D156</f>
        <v>0.69230769230769229</v>
      </c>
      <c r="K156" s="12"/>
      <c r="L156" s="22"/>
      <c r="M156" s="23">
        <v>0.21929999999999999</v>
      </c>
      <c r="N156" s="23">
        <v>0.78069999999999995</v>
      </c>
      <c r="O156" s="20">
        <v>0.21929999999999999</v>
      </c>
      <c r="P156" s="20">
        <v>0.78069999999999995</v>
      </c>
    </row>
    <row r="157" spans="1:16" x14ac:dyDescent="0.25">
      <c r="A157" t="s">
        <v>27</v>
      </c>
      <c r="B157" s="14">
        <v>85</v>
      </c>
      <c r="C157" s="14">
        <v>36</v>
      </c>
      <c r="D157" s="14">
        <f t="shared" ref="D157:D160" si="37">SUM(B157:C157)</f>
        <v>121</v>
      </c>
      <c r="E157" s="20">
        <f>D157/D161</f>
        <v>0.426056338028169</v>
      </c>
      <c r="F157" s="20">
        <f>C157/D157</f>
        <v>0.2975206611570248</v>
      </c>
      <c r="G157" s="20">
        <f>B157/D157</f>
        <v>0.7024793388429752</v>
      </c>
    </row>
    <row r="158" spans="1:16" x14ac:dyDescent="0.25">
      <c r="A158" t="s">
        <v>29</v>
      </c>
      <c r="B158" s="15">
        <v>1</v>
      </c>
      <c r="C158" s="15">
        <v>18</v>
      </c>
      <c r="D158" s="14">
        <f t="shared" si="37"/>
        <v>19</v>
      </c>
      <c r="E158" s="20">
        <f>D158/D161</f>
        <v>6.6901408450704219E-2</v>
      </c>
      <c r="F158" s="20">
        <f>C158/D158</f>
        <v>0.94736842105263153</v>
      </c>
      <c r="G158" s="20">
        <f>B158/D158</f>
        <v>5.2631578947368418E-2</v>
      </c>
      <c r="K158" s="8">
        <v>2019</v>
      </c>
      <c r="L158" s="8"/>
      <c r="M158"/>
      <c r="N158"/>
    </row>
    <row r="159" spans="1:16" x14ac:dyDescent="0.25">
      <c r="A159" t="s">
        <v>32</v>
      </c>
      <c r="B159" s="17">
        <v>85</v>
      </c>
      <c r="C159" s="17">
        <v>1</v>
      </c>
      <c r="D159" s="14">
        <f t="shared" si="37"/>
        <v>86</v>
      </c>
      <c r="E159" s="20">
        <f>D159/D161</f>
        <v>0.30281690140845069</v>
      </c>
      <c r="F159" s="20">
        <f>C159/D159</f>
        <v>1.1627906976744186E-2</v>
      </c>
      <c r="G159" s="20">
        <f>B159/D159</f>
        <v>0.98837209302325579</v>
      </c>
      <c r="K159" s="8" t="s">
        <v>82</v>
      </c>
      <c r="L159" s="1" t="s">
        <v>46</v>
      </c>
      <c r="M159" s="1" t="s">
        <v>48</v>
      </c>
      <c r="N159" s="1" t="s">
        <v>49</v>
      </c>
      <c r="O159" s="1" t="s">
        <v>87</v>
      </c>
      <c r="P159" s="1" t="s">
        <v>88</v>
      </c>
    </row>
    <row r="160" spans="1:16" x14ac:dyDescent="0.25">
      <c r="A160" s="19" t="s">
        <v>64</v>
      </c>
      <c r="B160" s="17">
        <v>3</v>
      </c>
      <c r="C160" s="17">
        <v>16</v>
      </c>
      <c r="D160" s="14">
        <f t="shared" si="37"/>
        <v>19</v>
      </c>
      <c r="E160" s="20">
        <f>D160/D161</f>
        <v>6.6901408450704219E-2</v>
      </c>
      <c r="F160" s="20">
        <f>C160/D160</f>
        <v>0.84210526315789469</v>
      </c>
      <c r="G160" s="20">
        <f>B160/D160</f>
        <v>0.15789473684210525</v>
      </c>
      <c r="K160" t="s">
        <v>41</v>
      </c>
      <c r="L160" s="28">
        <v>6.4885496183206104E-2</v>
      </c>
      <c r="M160" s="28">
        <v>0.26470588235294118</v>
      </c>
      <c r="N160" s="28">
        <v>0.73529411764705888</v>
      </c>
      <c r="O160" s="20">
        <v>1.717557251908397E-2</v>
      </c>
      <c r="P160" s="20">
        <v>4.7709923664122141E-2</v>
      </c>
    </row>
    <row r="161" spans="1:18" x14ac:dyDescent="0.25">
      <c r="A161" s="12"/>
      <c r="B161" s="18">
        <f>SUM(B156:B160)</f>
        <v>201</v>
      </c>
      <c r="C161" s="18">
        <f>SUM(C156:C160)</f>
        <v>83</v>
      </c>
      <c r="D161" s="17">
        <f>SUM(B161:C161)</f>
        <v>284</v>
      </c>
      <c r="E161" s="22">
        <f>SUBTOTAL(109,E156:E160)</f>
        <v>1</v>
      </c>
      <c r="F161" s="23">
        <f>Table356789101112131415[[#This Row],[KVK]]/Table356789101112131415[[#This Row],[Alls]]</f>
        <v>0.29225352112676056</v>
      </c>
      <c r="G161" s="23">
        <f>Table356789101112131415[[#This Row],[KK]]/Table356789101112131415[[#This Row],[Alls]]</f>
        <v>0.70774647887323938</v>
      </c>
      <c r="K161" t="s">
        <v>27</v>
      </c>
      <c r="L161" s="28">
        <v>0.11450381679389313</v>
      </c>
      <c r="M161" s="28">
        <v>0.28333333333333333</v>
      </c>
      <c r="N161" s="28">
        <v>0.71666666666666667</v>
      </c>
      <c r="O161" s="20">
        <v>3.2442748091603052E-2</v>
      </c>
      <c r="P161" s="20">
        <v>8.2061068702290074E-2</v>
      </c>
    </row>
    <row r="162" spans="1:18" x14ac:dyDescent="0.25">
      <c r="K162" t="s">
        <v>40</v>
      </c>
      <c r="L162" s="28">
        <v>1.3358778625954198E-2</v>
      </c>
      <c r="M162" s="28">
        <v>0.5714285714285714</v>
      </c>
      <c r="N162" s="28">
        <v>0.42857142857142855</v>
      </c>
      <c r="O162" s="20">
        <v>7.6335877862595417E-3</v>
      </c>
      <c r="P162" s="20">
        <v>5.7251908396946565E-3</v>
      </c>
    </row>
    <row r="163" spans="1:18" x14ac:dyDescent="0.25">
      <c r="A163" s="3">
        <v>2020</v>
      </c>
      <c r="B163" s="17"/>
      <c r="C163" s="17"/>
      <c r="D163" s="22"/>
      <c r="E163" s="22"/>
      <c r="F163" s="13"/>
      <c r="G163" s="13"/>
      <c r="K163" t="s">
        <v>42</v>
      </c>
      <c r="L163" s="28">
        <v>1.1450381679389313E-2</v>
      </c>
      <c r="M163" s="28">
        <v>0.16666666666666666</v>
      </c>
      <c r="N163" s="28">
        <v>0.83333333333333337</v>
      </c>
      <c r="O163" s="20">
        <v>1.9083969465648854E-3</v>
      </c>
      <c r="P163" s="20">
        <v>9.5419847328244278E-3</v>
      </c>
    </row>
    <row r="164" spans="1:18" x14ac:dyDescent="0.25">
      <c r="A164" s="24" t="s">
        <v>66</v>
      </c>
      <c r="B164" s="21" t="s">
        <v>38</v>
      </c>
      <c r="C164" s="21" t="s">
        <v>39</v>
      </c>
      <c r="D164" s="21" t="s">
        <v>25</v>
      </c>
      <c r="E164" s="1" t="s">
        <v>46</v>
      </c>
      <c r="F164" s="1" t="s">
        <v>48</v>
      </c>
      <c r="G164" s="1" t="s">
        <v>49</v>
      </c>
      <c r="K164" t="s">
        <v>29</v>
      </c>
      <c r="L164" s="28">
        <v>1.5267175572519083E-2</v>
      </c>
      <c r="M164" s="28">
        <v>1</v>
      </c>
      <c r="N164" s="28">
        <v>0</v>
      </c>
      <c r="O164" s="20">
        <v>1.5267175572519083E-2</v>
      </c>
      <c r="P164" s="20">
        <v>0</v>
      </c>
    </row>
    <row r="165" spans="1:18" x14ac:dyDescent="0.25">
      <c r="A165" t="s">
        <v>41</v>
      </c>
      <c r="B165" s="14">
        <v>27</v>
      </c>
      <c r="C165" s="14">
        <v>14</v>
      </c>
      <c r="D165" s="14">
        <f>SUM(B165:C165)</f>
        <v>41</v>
      </c>
      <c r="E165" s="20">
        <f>D165/D170</f>
        <v>0.14385964912280702</v>
      </c>
      <c r="F165" s="20">
        <f>C165/D165</f>
        <v>0.34146341463414637</v>
      </c>
      <c r="G165" s="20">
        <f>B165/D165</f>
        <v>0.65853658536585369</v>
      </c>
      <c r="K165" t="s">
        <v>43</v>
      </c>
      <c r="L165" s="28">
        <v>3.8167938931297708E-3</v>
      </c>
      <c r="M165" s="28">
        <v>0</v>
      </c>
      <c r="N165" s="28">
        <v>1</v>
      </c>
      <c r="O165" s="20">
        <v>0</v>
      </c>
      <c r="P165" s="20">
        <v>3.8167938931297708E-3</v>
      </c>
    </row>
    <row r="166" spans="1:18" x14ac:dyDescent="0.25">
      <c r="A166" t="s">
        <v>27</v>
      </c>
      <c r="B166" s="14">
        <v>85</v>
      </c>
      <c r="C166" s="14">
        <v>40</v>
      </c>
      <c r="D166" s="14">
        <f t="shared" ref="D166:D169" si="38">SUM(B166:C166)</f>
        <v>125</v>
      </c>
      <c r="E166" s="20">
        <f>D166/D170</f>
        <v>0.43859649122807015</v>
      </c>
      <c r="F166" s="20">
        <f>C166/D166</f>
        <v>0.32</v>
      </c>
      <c r="G166" s="20">
        <f>B166/D166</f>
        <v>0.68</v>
      </c>
      <c r="K166" t="s">
        <v>32</v>
      </c>
      <c r="L166" s="28">
        <v>0.13358778625954199</v>
      </c>
      <c r="M166" s="28">
        <v>0</v>
      </c>
      <c r="N166" s="28">
        <v>1</v>
      </c>
      <c r="O166" s="20">
        <v>1.1450381679389313E-2</v>
      </c>
      <c r="P166" s="20">
        <v>0.12213740458015267</v>
      </c>
    </row>
    <row r="167" spans="1:18" x14ac:dyDescent="0.25">
      <c r="A167" t="s">
        <v>29</v>
      </c>
      <c r="B167" s="15">
        <v>0</v>
      </c>
      <c r="C167" s="15">
        <v>13</v>
      </c>
      <c r="D167" s="14">
        <f t="shared" si="38"/>
        <v>13</v>
      </c>
      <c r="E167" s="20">
        <f>D167/D170</f>
        <v>4.5614035087719301E-2</v>
      </c>
      <c r="F167" s="20">
        <f>C167/D167</f>
        <v>1</v>
      </c>
      <c r="G167" s="20">
        <f>B167/D167</f>
        <v>0</v>
      </c>
      <c r="K167" t="s">
        <v>44</v>
      </c>
      <c r="L167" s="28">
        <v>0.64312977099236646</v>
      </c>
      <c r="M167" s="28">
        <v>8.5714285714285715E-2</v>
      </c>
      <c r="N167" s="28">
        <v>0.91428571428571426</v>
      </c>
      <c r="O167" s="20">
        <v>0.14885496183206107</v>
      </c>
      <c r="P167" s="20">
        <v>0.49427480916030536</v>
      </c>
      <c r="R167" s="29"/>
    </row>
    <row r="168" spans="1:18" x14ac:dyDescent="0.25">
      <c r="A168" t="s">
        <v>32</v>
      </c>
      <c r="B168" s="17">
        <v>82</v>
      </c>
      <c r="C168" s="17">
        <v>3</v>
      </c>
      <c r="D168" s="14">
        <f t="shared" si="38"/>
        <v>85</v>
      </c>
      <c r="E168" s="20">
        <f>D168/D170</f>
        <v>0.2982456140350877</v>
      </c>
      <c r="F168" s="20">
        <f>C168/D168</f>
        <v>3.5294117647058823E-2</v>
      </c>
      <c r="G168" s="20">
        <f>B168/D168</f>
        <v>0.96470588235294119</v>
      </c>
      <c r="K168" s="19" t="s">
        <v>45</v>
      </c>
      <c r="L168" s="28">
        <v>0</v>
      </c>
      <c r="M168" s="28">
        <v>0</v>
      </c>
      <c r="N168" s="28">
        <v>0</v>
      </c>
      <c r="O168" s="20">
        <v>0</v>
      </c>
      <c r="P168" s="20">
        <v>0</v>
      </c>
    </row>
    <row r="169" spans="1:18" x14ac:dyDescent="0.25">
      <c r="A169" s="19" t="s">
        <v>64</v>
      </c>
      <c r="B169" s="17">
        <v>5</v>
      </c>
      <c r="C169" s="17">
        <v>16</v>
      </c>
      <c r="D169" s="14">
        <f t="shared" si="38"/>
        <v>21</v>
      </c>
      <c r="E169" s="20">
        <f>D169/D170</f>
        <v>7.3684210526315783E-2</v>
      </c>
      <c r="F169" s="20">
        <f>C169/D169</f>
        <v>0.76190476190476186</v>
      </c>
      <c r="G169" s="20">
        <f>B169/D169</f>
        <v>0.23809523809523808</v>
      </c>
      <c r="K169" s="12"/>
      <c r="L169" s="22"/>
      <c r="M169" s="23"/>
      <c r="N169" s="23"/>
      <c r="O169" s="20">
        <v>0.23473282442748092</v>
      </c>
      <c r="P169" s="20">
        <v>0.76526717557251911</v>
      </c>
    </row>
    <row r="170" spans="1:18" x14ac:dyDescent="0.25">
      <c r="A170" s="12"/>
      <c r="B170" s="18">
        <f>SUM(B165:B169)</f>
        <v>199</v>
      </c>
      <c r="C170" s="18">
        <f>SUM(C165:C169)</f>
        <v>86</v>
      </c>
      <c r="D170" s="17">
        <f>SUM(B170:C170)</f>
        <v>285</v>
      </c>
      <c r="E170" s="22">
        <f>SUBTOTAL(109,E165:E169)</f>
        <v>1</v>
      </c>
      <c r="F170" s="23">
        <f>Table35678910111213141516[[#This Row],[KVK]]/Table35678910111213141516[[#This Row],[Alls]]</f>
        <v>0.30175438596491228</v>
      </c>
      <c r="G170" s="23">
        <f>Table35678910111213141516[[#This Row],[KK]]/Table35678910111213141516[[#This Row],[Alls]]</f>
        <v>0.69824561403508767</v>
      </c>
    </row>
    <row r="171" spans="1:18" x14ac:dyDescent="0.25">
      <c r="K171" s="8">
        <v>2020</v>
      </c>
      <c r="L171" s="8"/>
      <c r="M171"/>
      <c r="N171"/>
    </row>
    <row r="172" spans="1:18" x14ac:dyDescent="0.25">
      <c r="A172" s="3">
        <v>2021</v>
      </c>
      <c r="B172" s="17"/>
      <c r="C172" s="17"/>
      <c r="D172" s="22"/>
      <c r="E172" s="22"/>
      <c r="F172" s="13"/>
      <c r="G172" s="13"/>
      <c r="K172" s="8" t="s">
        <v>83</v>
      </c>
      <c r="L172" s="1" t="s">
        <v>46</v>
      </c>
      <c r="M172" s="1" t="s">
        <v>48</v>
      </c>
      <c r="N172" s="1" t="s">
        <v>49</v>
      </c>
      <c r="O172" s="1" t="s">
        <v>87</v>
      </c>
      <c r="P172" s="1" t="s">
        <v>88</v>
      </c>
    </row>
    <row r="173" spans="1:18" x14ac:dyDescent="0.25">
      <c r="A173" s="24" t="s">
        <v>67</v>
      </c>
      <c r="B173" s="21" t="s">
        <v>38</v>
      </c>
      <c r="C173" s="21" t="s">
        <v>39</v>
      </c>
      <c r="D173" s="21" t="s">
        <v>25</v>
      </c>
      <c r="E173" s="1" t="s">
        <v>46</v>
      </c>
      <c r="F173" s="1" t="s">
        <v>48</v>
      </c>
      <c r="G173" s="1" t="s">
        <v>49</v>
      </c>
      <c r="K173" t="s">
        <v>41</v>
      </c>
      <c r="L173" s="28">
        <v>6.6176470588235295E-2</v>
      </c>
      <c r="M173" s="28">
        <v>0.27777777777777779</v>
      </c>
      <c r="N173" s="28">
        <v>0.72222222222222221</v>
      </c>
      <c r="O173" s="20">
        <v>1.8382352941176471E-2</v>
      </c>
      <c r="P173" s="20">
        <v>4.779411764705882E-2</v>
      </c>
    </row>
    <row r="174" spans="1:18" x14ac:dyDescent="0.25">
      <c r="A174" t="s">
        <v>41</v>
      </c>
      <c r="B174" s="14">
        <v>27</v>
      </c>
      <c r="C174" s="14">
        <v>13</v>
      </c>
      <c r="D174" s="14">
        <f>SUM(B174:C174)</f>
        <v>40</v>
      </c>
      <c r="E174" s="20">
        <f>D174/D179</f>
        <v>0.145985401459854</v>
      </c>
      <c r="F174" s="20">
        <f>C174/D174</f>
        <v>0.32500000000000001</v>
      </c>
      <c r="G174" s="20">
        <f>B174/D174</f>
        <v>0.67500000000000004</v>
      </c>
      <c r="K174" t="s">
        <v>27</v>
      </c>
      <c r="L174" s="28">
        <v>0.10477941176470588</v>
      </c>
      <c r="M174" s="28">
        <v>0.26315789473684209</v>
      </c>
      <c r="N174" s="28">
        <v>0.73684210526315785</v>
      </c>
      <c r="O174" s="20">
        <v>2.7573529411764705E-2</v>
      </c>
      <c r="P174" s="20">
        <v>7.720588235294118E-2</v>
      </c>
    </row>
    <row r="175" spans="1:18" x14ac:dyDescent="0.25">
      <c r="A175" t="s">
        <v>27</v>
      </c>
      <c r="B175" s="14">
        <v>89</v>
      </c>
      <c r="C175" s="14">
        <v>39</v>
      </c>
      <c r="D175" s="14">
        <f t="shared" ref="D175:D178" si="39">SUM(B175:C175)</f>
        <v>128</v>
      </c>
      <c r="E175" s="20">
        <f>D175/D179</f>
        <v>0.46715328467153283</v>
      </c>
      <c r="F175" s="20">
        <f>C175/D175</f>
        <v>0.3046875</v>
      </c>
      <c r="G175" s="20">
        <f>B175/D175</f>
        <v>0.6953125</v>
      </c>
      <c r="K175" t="s">
        <v>40</v>
      </c>
      <c r="L175" s="28">
        <v>1.1029411764705883E-2</v>
      </c>
      <c r="M175" s="28">
        <v>0.66666666666666663</v>
      </c>
      <c r="N175" s="28">
        <v>0.33333333333333331</v>
      </c>
      <c r="O175" s="20">
        <v>7.3529411764705881E-3</v>
      </c>
      <c r="P175" s="20">
        <v>3.6764705882352941E-3</v>
      </c>
    </row>
    <row r="176" spans="1:18" x14ac:dyDescent="0.25">
      <c r="A176" t="s">
        <v>29</v>
      </c>
      <c r="B176" s="15">
        <v>0</v>
      </c>
      <c r="C176" s="15">
        <v>12</v>
      </c>
      <c r="D176" s="14">
        <f t="shared" si="39"/>
        <v>12</v>
      </c>
      <c r="E176" s="20">
        <f>D176/D179</f>
        <v>4.3795620437956206E-2</v>
      </c>
      <c r="F176" s="20">
        <f>C176/D176</f>
        <v>1</v>
      </c>
      <c r="G176" s="20">
        <f>B176/D176</f>
        <v>0</v>
      </c>
      <c r="K176" t="s">
        <v>42</v>
      </c>
      <c r="L176" s="28">
        <v>1.6544117647058824E-2</v>
      </c>
      <c r="M176" s="28">
        <v>0.44444444444444442</v>
      </c>
      <c r="N176" s="28">
        <v>0.55555555555555558</v>
      </c>
      <c r="O176" s="20">
        <v>7.3529411764705881E-3</v>
      </c>
      <c r="P176" s="20">
        <v>9.1911764705882356E-3</v>
      </c>
    </row>
    <row r="177" spans="1:16" x14ac:dyDescent="0.25">
      <c r="A177" t="s">
        <v>32</v>
      </c>
      <c r="B177" s="17">
        <v>74</v>
      </c>
      <c r="C177" s="17">
        <v>2</v>
      </c>
      <c r="D177" s="14">
        <f t="shared" si="39"/>
        <v>76</v>
      </c>
      <c r="E177" s="20">
        <f>D177/D179</f>
        <v>0.27737226277372262</v>
      </c>
      <c r="F177" s="20">
        <f>C177/D177</f>
        <v>2.6315789473684209E-2</v>
      </c>
      <c r="G177" s="20">
        <f>B177/D177</f>
        <v>0.97368421052631582</v>
      </c>
      <c r="K177" t="s">
        <v>29</v>
      </c>
      <c r="L177" s="28">
        <v>9.1911764705882356E-3</v>
      </c>
      <c r="M177" s="28">
        <v>1</v>
      </c>
      <c r="N177" s="28">
        <v>0</v>
      </c>
      <c r="O177" s="20">
        <v>9.1911764705882356E-3</v>
      </c>
      <c r="P177" s="20">
        <v>0</v>
      </c>
    </row>
    <row r="178" spans="1:16" x14ac:dyDescent="0.25">
      <c r="A178" s="19" t="s">
        <v>64</v>
      </c>
      <c r="B178" s="17">
        <v>6</v>
      </c>
      <c r="C178" s="17">
        <v>12</v>
      </c>
      <c r="D178" s="14">
        <f t="shared" si="39"/>
        <v>18</v>
      </c>
      <c r="E178" s="20">
        <f>D178/D179</f>
        <v>6.569343065693431E-2</v>
      </c>
      <c r="F178" s="20">
        <f>C178/D178</f>
        <v>0.66666666666666663</v>
      </c>
      <c r="G178" s="20">
        <f>B178/D178</f>
        <v>0.33333333333333331</v>
      </c>
      <c r="K178" t="s">
        <v>43</v>
      </c>
      <c r="L178" s="28">
        <v>3.6764705882352941E-3</v>
      </c>
      <c r="M178" s="28">
        <v>0</v>
      </c>
      <c r="N178" s="28">
        <v>1</v>
      </c>
      <c r="O178" s="20">
        <v>0</v>
      </c>
      <c r="P178" s="20">
        <v>3.6764705882352941E-3</v>
      </c>
    </row>
    <row r="179" spans="1:16" x14ac:dyDescent="0.25">
      <c r="A179" s="12"/>
      <c r="B179" s="18">
        <f>SUM(B174:B178)</f>
        <v>196</v>
      </c>
      <c r="C179" s="18">
        <f>SUM(C174:C178)</f>
        <v>78</v>
      </c>
      <c r="D179" s="17">
        <f>SUM(B179:C179)</f>
        <v>274</v>
      </c>
      <c r="E179" s="22">
        <f>SUBTOTAL(109,E174:E178)</f>
        <v>0.99999999999999989</v>
      </c>
      <c r="F179" s="23">
        <f>Table3567891011121314151617[[#This Row],[KVK]]/Table3567891011121314151617[[#This Row],[Alls]]</f>
        <v>0.28467153284671531</v>
      </c>
      <c r="G179" s="23">
        <f>Table3567891011121314151617[[#This Row],[KK]]/Table3567891011121314151617[[#This Row],[Alls]]</f>
        <v>0.71532846715328469</v>
      </c>
      <c r="K179" t="s">
        <v>32</v>
      </c>
      <c r="L179" s="28">
        <v>0.13419117647058823</v>
      </c>
      <c r="M179" s="28">
        <v>0</v>
      </c>
      <c r="N179" s="28">
        <v>1</v>
      </c>
      <c r="O179" s="20">
        <v>7.3529411764705881E-3</v>
      </c>
      <c r="P179" s="20">
        <v>0.12683823529411764</v>
      </c>
    </row>
    <row r="180" spans="1:16" x14ac:dyDescent="0.25">
      <c r="K180" t="s">
        <v>44</v>
      </c>
      <c r="L180" s="28">
        <v>0.65441176470588236</v>
      </c>
      <c r="M180" s="28">
        <v>5.4794520547945202E-2</v>
      </c>
      <c r="N180" s="28">
        <v>0.9452054794520548</v>
      </c>
      <c r="O180" s="20">
        <v>0.16911764705882354</v>
      </c>
      <c r="P180" s="20">
        <v>0.48529411764705882</v>
      </c>
    </row>
    <row r="181" spans="1:16" x14ac:dyDescent="0.25">
      <c r="K181" s="19" t="s">
        <v>45</v>
      </c>
      <c r="L181" s="28">
        <v>0</v>
      </c>
      <c r="M181" s="28">
        <v>0</v>
      </c>
      <c r="N181" s="28">
        <v>0</v>
      </c>
      <c r="O181" s="20">
        <v>0</v>
      </c>
      <c r="P181" s="20">
        <v>0</v>
      </c>
    </row>
    <row r="182" spans="1:16" x14ac:dyDescent="0.25">
      <c r="K182" s="12"/>
      <c r="L182" s="22"/>
      <c r="M182" s="23"/>
      <c r="N182" s="23"/>
      <c r="O182" s="20">
        <v>0.24632352941176472</v>
      </c>
      <c r="P182" s="20">
        <v>0.75367647058823528</v>
      </c>
    </row>
    <row r="184" spans="1:16" x14ac:dyDescent="0.25">
      <c r="K184" s="8">
        <v>2021</v>
      </c>
      <c r="L184" s="8"/>
      <c r="M184"/>
      <c r="N184"/>
    </row>
    <row r="185" spans="1:16" x14ac:dyDescent="0.25">
      <c r="K185" s="8" t="s">
        <v>84</v>
      </c>
      <c r="L185" s="1" t="s">
        <v>46</v>
      </c>
      <c r="M185" s="1" t="s">
        <v>48</v>
      </c>
      <c r="N185" s="1" t="s">
        <v>49</v>
      </c>
      <c r="O185" s="1" t="s">
        <v>87</v>
      </c>
      <c r="P185" s="1" t="s">
        <v>88</v>
      </c>
    </row>
    <row r="186" spans="1:16" x14ac:dyDescent="0.25">
      <c r="K186" t="s">
        <v>41</v>
      </c>
      <c r="L186" s="28">
        <v>8.0935251798561147E-2</v>
      </c>
      <c r="M186" s="28">
        <v>0.22222222222222221</v>
      </c>
      <c r="N186" s="28">
        <v>0.77777777777777779</v>
      </c>
      <c r="O186" s="20">
        <v>1.7985611510791366E-2</v>
      </c>
      <c r="P186" s="20">
        <v>6.2949640287769781E-2</v>
      </c>
    </row>
    <row r="187" spans="1:16" x14ac:dyDescent="0.25">
      <c r="K187" t="s">
        <v>27</v>
      </c>
      <c r="L187" s="28">
        <v>0.11510791366906475</v>
      </c>
      <c r="M187" s="28">
        <v>0.25</v>
      </c>
      <c r="N187" s="28">
        <v>0.75</v>
      </c>
      <c r="O187" s="20">
        <v>2.8776978417266189E-2</v>
      </c>
      <c r="P187" s="20">
        <v>8.6330935251798566E-2</v>
      </c>
    </row>
    <row r="188" spans="1:16" ht="15.75" customHeight="1" x14ac:dyDescent="0.25">
      <c r="K188" t="s">
        <v>40</v>
      </c>
      <c r="L188" s="28">
        <v>8.9928057553956831E-3</v>
      </c>
      <c r="M188" s="28">
        <v>0.8</v>
      </c>
      <c r="N188" s="28">
        <v>0.2</v>
      </c>
      <c r="O188" s="20">
        <v>7.1942446043165471E-3</v>
      </c>
      <c r="P188" s="20">
        <v>1.7985611510791368E-3</v>
      </c>
    </row>
    <row r="189" spans="1:16" x14ac:dyDescent="0.25">
      <c r="K189" t="s">
        <v>42</v>
      </c>
      <c r="L189" s="28">
        <v>1.618705035971223E-2</v>
      </c>
      <c r="M189" s="28">
        <v>0.44444444444444442</v>
      </c>
      <c r="N189" s="28">
        <v>0.55555555555555558</v>
      </c>
      <c r="O189" s="20">
        <v>7.1942446043165471E-3</v>
      </c>
      <c r="P189" s="20">
        <v>8.9928057553956831E-3</v>
      </c>
    </row>
    <row r="190" spans="1:16" x14ac:dyDescent="0.25">
      <c r="K190" t="s">
        <v>29</v>
      </c>
      <c r="L190" s="28">
        <v>1.0791366906474821E-2</v>
      </c>
      <c r="M190" s="28">
        <v>0.83333333333333337</v>
      </c>
      <c r="N190" s="28">
        <v>0.16666666666666666</v>
      </c>
      <c r="O190" s="20">
        <v>8.9928057553956831E-3</v>
      </c>
      <c r="P190" s="20">
        <v>1.7985611510791368E-3</v>
      </c>
    </row>
    <row r="191" spans="1:16" x14ac:dyDescent="0.25">
      <c r="K191" t="s">
        <v>43</v>
      </c>
      <c r="L191" s="28">
        <v>5.3956834532374104E-3</v>
      </c>
      <c r="M191" s="28">
        <v>0</v>
      </c>
      <c r="N191" s="28">
        <v>1</v>
      </c>
      <c r="O191" s="20">
        <v>0</v>
      </c>
      <c r="P191" s="20">
        <v>5.3956834532374104E-3</v>
      </c>
    </row>
    <row r="192" spans="1:16" x14ac:dyDescent="0.25">
      <c r="K192" t="s">
        <v>32</v>
      </c>
      <c r="L192" s="28">
        <v>0.1223021582733813</v>
      </c>
      <c r="M192" s="28">
        <v>0</v>
      </c>
      <c r="N192" s="28">
        <v>1</v>
      </c>
      <c r="O192" s="20">
        <v>7.1942446043165471E-3</v>
      </c>
      <c r="P192" s="20">
        <v>0.11510791366906475</v>
      </c>
    </row>
    <row r="193" spans="11:16" x14ac:dyDescent="0.25">
      <c r="K193" t="s">
        <v>44</v>
      </c>
      <c r="L193" s="28">
        <v>0.64028776978417268</v>
      </c>
      <c r="M193" s="28">
        <v>5.8823529411764705E-2</v>
      </c>
      <c r="N193" s="28">
        <v>0.94117647058823528</v>
      </c>
      <c r="O193" s="20">
        <v>0.16546762589928057</v>
      </c>
      <c r="P193" s="20">
        <v>0.47482014388489208</v>
      </c>
    </row>
    <row r="194" spans="11:16" x14ac:dyDescent="0.25">
      <c r="K194" s="19" t="s">
        <v>45</v>
      </c>
      <c r="L194" s="28">
        <v>0</v>
      </c>
      <c r="M194" s="28">
        <v>0</v>
      </c>
      <c r="N194" s="28">
        <v>0</v>
      </c>
      <c r="O194" s="20">
        <v>0</v>
      </c>
      <c r="P194" s="20">
        <v>0</v>
      </c>
    </row>
    <row r="195" spans="11:16" x14ac:dyDescent="0.25">
      <c r="K195" s="12"/>
      <c r="L195" s="22"/>
      <c r="M195" s="20"/>
      <c r="N195" s="20"/>
      <c r="O195" s="23">
        <v>0.24279999999999999</v>
      </c>
      <c r="P195" s="23">
        <v>0.75719999999999998</v>
      </c>
    </row>
  </sheetData>
  <mergeCells count="1">
    <mergeCell ref="A152:G152"/>
  </mergeCells>
  <phoneticPr fontId="16" type="noConversion"/>
  <pageMargins left="0.70866141732283472" right="0.70866141732283472" top="0.74803149606299213" bottom="0.74803149606299213" header="0.31496062992125984" footer="0.31496062992125984"/>
  <pageSetup paperSize="9" pageOrder="overThenDown" orientation="landscape" r:id="rId1"/>
  <headerFooter>
    <oddHeader>&amp;L&amp;A&amp;C&amp;G&amp;R&amp;P af &amp;N</oddHeader>
    <oddFooter>&amp;C&amp;"-,Bold"https://www.sjalfbaerni.is</oddFooter>
  </headerFooter>
  <legacyDrawingHF r:id="rId2"/>
  <tableParts count="30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767E7-887E-4D40-8EBC-AD0C9E736589}">
  <sheetPr>
    <tabColor theme="7" tint="0.59999389629810485"/>
  </sheetPr>
  <dimension ref="A1:Z35"/>
  <sheetViews>
    <sheetView zoomScaleNormal="100" workbookViewId="0">
      <selection activeCell="M44" sqref="M44"/>
    </sheetView>
  </sheetViews>
  <sheetFormatPr defaultColWidth="9.28515625" defaultRowHeight="15" x14ac:dyDescent="0.25"/>
  <cols>
    <col min="1" max="1" width="9.28515625" style="1"/>
    <col min="2" max="2" width="30.7109375" style="1" bestFit="1" customWidth="1"/>
    <col min="3" max="3" width="15.28515625" style="1" customWidth="1"/>
    <col min="4" max="4" width="14" style="1" customWidth="1"/>
    <col min="5" max="5" width="19.42578125" style="1" customWidth="1"/>
    <col min="6" max="6" width="18.140625" style="1" customWidth="1"/>
    <col min="7" max="7" width="13.5703125" style="1" customWidth="1"/>
    <col min="8" max="8" width="12.28515625" style="1" customWidth="1"/>
    <col min="9" max="10" width="9.28515625" style="1"/>
    <col min="11" max="11" width="30.7109375" style="1" bestFit="1" customWidth="1"/>
    <col min="12" max="12" width="15.28515625" style="1" customWidth="1"/>
    <col min="13" max="13" width="14" style="1" customWidth="1"/>
    <col min="14" max="14" width="19.42578125" style="1" customWidth="1"/>
    <col min="15" max="15" width="18.140625" style="1" customWidth="1"/>
    <col min="16" max="16" width="13.5703125" style="1" customWidth="1"/>
    <col min="17" max="17" width="12.28515625" style="1" customWidth="1"/>
    <col min="18" max="18" width="9.28515625" style="1"/>
    <col min="19" max="19" width="30.7109375" style="1" bestFit="1" customWidth="1"/>
    <col min="20" max="20" width="15.28515625" style="1" customWidth="1"/>
    <col min="21" max="21" width="14" style="1" customWidth="1"/>
    <col min="22" max="22" width="19.42578125" style="1" customWidth="1"/>
    <col min="23" max="23" width="18.140625" style="1" customWidth="1"/>
    <col min="24" max="24" width="13.5703125" style="1" customWidth="1"/>
    <col min="25" max="25" width="12.28515625" style="1" customWidth="1"/>
    <col min="26" max="16384" width="9.28515625" style="1"/>
  </cols>
  <sheetData>
    <row r="1" spans="1:26" s="4" customFormat="1" ht="21" x14ac:dyDescent="0.35">
      <c r="A1" s="33" t="s">
        <v>85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"/>
      <c r="O2" s="2"/>
      <c r="P2" s="2"/>
      <c r="Q2" s="2"/>
      <c r="R2" s="2"/>
      <c r="S2" s="2"/>
      <c r="T2" s="2"/>
    </row>
    <row r="3" spans="1:26" x14ac:dyDescent="0.25">
      <c r="A3" s="3" t="s">
        <v>86</v>
      </c>
      <c r="D3" s="3"/>
      <c r="E3" s="3"/>
      <c r="K3" s="3" t="s">
        <v>96</v>
      </c>
      <c r="L3" s="3"/>
      <c r="M3" s="3"/>
      <c r="S3" s="1" t="s">
        <v>97</v>
      </c>
    </row>
    <row r="4" spans="1:26" ht="15" customHeight="1" x14ac:dyDescent="0.25">
      <c r="B4" s="1" t="s">
        <v>98</v>
      </c>
      <c r="C4" s="1" t="s">
        <v>89</v>
      </c>
      <c r="D4" s="1" t="s">
        <v>91</v>
      </c>
      <c r="E4" s="1" t="s">
        <v>90</v>
      </c>
      <c r="F4" s="1" t="s">
        <v>92</v>
      </c>
      <c r="G4" s="1" t="s">
        <v>93</v>
      </c>
      <c r="H4" s="1" t="s">
        <v>94</v>
      </c>
      <c r="K4" s="1" t="s">
        <v>47</v>
      </c>
      <c r="L4" s="1" t="s">
        <v>89</v>
      </c>
      <c r="M4" s="1" t="s">
        <v>91</v>
      </c>
      <c r="N4" s="1" t="s">
        <v>90</v>
      </c>
      <c r="O4" s="1" t="s">
        <v>92</v>
      </c>
      <c r="P4" s="1" t="s">
        <v>93</v>
      </c>
      <c r="Q4" s="1" t="s">
        <v>94</v>
      </c>
      <c r="S4" s="1" t="s">
        <v>47</v>
      </c>
      <c r="T4" s="1" t="s">
        <v>89</v>
      </c>
      <c r="U4" s="1" t="s">
        <v>91</v>
      </c>
      <c r="V4" s="1" t="s">
        <v>90</v>
      </c>
      <c r="W4" s="1" t="s">
        <v>92</v>
      </c>
      <c r="X4" s="1" t="s">
        <v>93</v>
      </c>
      <c r="Y4" s="1" t="s">
        <v>94</v>
      </c>
    </row>
    <row r="5" spans="1:26" ht="15" customHeight="1" x14ac:dyDescent="0.25">
      <c r="B5" t="s">
        <v>41</v>
      </c>
      <c r="C5" s="29">
        <f>'Frumgögn LV&amp;Alcoa'!O186</f>
        <v>1.7985611510791366E-2</v>
      </c>
      <c r="D5" s="29">
        <f>'Frumgögn LV&amp;Alcoa'!P186</f>
        <v>6.2949640287769781E-2</v>
      </c>
      <c r="E5" s="1">
        <f>'Frumgögn LV&amp;Alcoa'!C174/'Frumgögn LV&amp;Alcoa'!$D$179</f>
        <v>4.7445255474452552E-2</v>
      </c>
      <c r="F5" s="1">
        <f>'Frumgögn LV&amp;Alcoa'!B174/'Frumgögn LV&amp;Alcoa'!D179</f>
        <v>9.8540145985401464E-2</v>
      </c>
      <c r="G5" s="1">
        <f>'Frumgögn Hagstofa'!U32/'Frumgögn Hagstofa'!$U$11</f>
        <v>4.79836651352731E-2</v>
      </c>
      <c r="H5" s="1">
        <f>'Frumgögn Hagstofa'!U22/'Frumgögn Hagstofa'!$U$11</f>
        <v>8.0653394589076055E-2</v>
      </c>
      <c r="K5" t="s">
        <v>41</v>
      </c>
      <c r="L5" s="1">
        <f>C5*100</f>
        <v>1.7985611510791366</v>
      </c>
      <c r="M5" s="1">
        <f t="shared" ref="M5:Q12" si="0">D5*100</f>
        <v>6.2949640287769784</v>
      </c>
      <c r="N5" s="1">
        <f t="shared" si="0"/>
        <v>4.7445255474452548</v>
      </c>
      <c r="O5" s="1">
        <f t="shared" si="0"/>
        <v>9.8540145985401466</v>
      </c>
      <c r="P5" s="1">
        <f t="shared" si="0"/>
        <v>4.7983665135273101</v>
      </c>
      <c r="Q5" s="1">
        <f t="shared" si="0"/>
        <v>8.0653394589076051</v>
      </c>
      <c r="S5" t="s">
        <v>41</v>
      </c>
      <c r="T5" s="20">
        <f>C5</f>
        <v>1.7985611510791366E-2</v>
      </c>
      <c r="U5" s="20">
        <f t="shared" ref="U5:Y5" si="1">D5</f>
        <v>6.2949640287769781E-2</v>
      </c>
      <c r="V5" s="20">
        <f t="shared" si="1"/>
        <v>4.7445255474452552E-2</v>
      </c>
      <c r="W5" s="20">
        <f t="shared" si="1"/>
        <v>9.8540145985401464E-2</v>
      </c>
      <c r="X5" s="20">
        <f t="shared" si="1"/>
        <v>4.79836651352731E-2</v>
      </c>
      <c r="Y5" s="20">
        <f t="shared" si="1"/>
        <v>8.0653394589076055E-2</v>
      </c>
    </row>
    <row r="6" spans="1:26" x14ac:dyDescent="0.25">
      <c r="B6" t="s">
        <v>27</v>
      </c>
      <c r="C6" s="29">
        <f>'Frumgögn LV&amp;Alcoa'!O187</f>
        <v>2.8776978417266189E-2</v>
      </c>
      <c r="D6" s="29">
        <f>'Frumgögn LV&amp;Alcoa'!P187</f>
        <v>8.6330935251798566E-2</v>
      </c>
      <c r="E6" s="1">
        <f>'Frumgögn LV&amp;Alcoa'!C175/'Frumgögn LV&amp;Alcoa'!$D$179</f>
        <v>0.14233576642335766</v>
      </c>
      <c r="F6" s="1">
        <f>'Frumgögn LV&amp;Alcoa'!B175/'Frumgögn LV&amp;Alcoa'!D179</f>
        <v>0.32481751824817517</v>
      </c>
      <c r="G6" s="1">
        <f>'Frumgögn Hagstofa'!U33/'Frumgögn Hagstofa'!$U$11</f>
        <v>0.13527309851965288</v>
      </c>
      <c r="H6" s="1">
        <f>'Frumgögn Hagstofa'!U23/'Frumgögn Hagstofa'!$U$11</f>
        <v>9.0862685043389485E-2</v>
      </c>
      <c r="K6" t="s">
        <v>27</v>
      </c>
      <c r="L6" s="1">
        <f t="shared" ref="L6:L12" si="2">C6*100</f>
        <v>2.877697841726619</v>
      </c>
      <c r="M6" s="1">
        <f t="shared" si="0"/>
        <v>8.6330935251798557</v>
      </c>
      <c r="N6" s="1">
        <f t="shared" si="0"/>
        <v>14.233576642335766</v>
      </c>
      <c r="O6" s="1">
        <f t="shared" si="0"/>
        <v>32.481751824817515</v>
      </c>
      <c r="P6" s="1">
        <f t="shared" si="0"/>
        <v>13.527309851965288</v>
      </c>
      <c r="Q6" s="1">
        <f t="shared" si="0"/>
        <v>9.0862685043389479</v>
      </c>
      <c r="S6" t="s">
        <v>27</v>
      </c>
      <c r="T6" s="20">
        <f t="shared" ref="T6:T13" si="3">C6</f>
        <v>2.8776978417266189E-2</v>
      </c>
      <c r="U6" s="20">
        <f t="shared" ref="U6:U13" si="4">D6</f>
        <v>8.6330935251798566E-2</v>
      </c>
      <c r="V6" s="20">
        <f t="shared" ref="V6:V13" si="5">E6</f>
        <v>0.14233576642335766</v>
      </c>
      <c r="W6" s="20">
        <f t="shared" ref="W6:W13" si="6">F6</f>
        <v>0.32481751824817517</v>
      </c>
      <c r="X6" s="20">
        <f t="shared" ref="X6:X13" si="7">G6</f>
        <v>0.13527309851965288</v>
      </c>
      <c r="Y6" s="20">
        <f t="shared" ref="Y6:Y13" si="8">H6</f>
        <v>9.0862685043389485E-2</v>
      </c>
    </row>
    <row r="7" spans="1:26" x14ac:dyDescent="0.25">
      <c r="B7" t="s">
        <v>40</v>
      </c>
      <c r="C7" s="29">
        <f>'Frumgögn LV&amp;Alcoa'!O188</f>
        <v>7.1942446043165471E-3</v>
      </c>
      <c r="D7" s="29">
        <f>'Frumgögn LV&amp;Alcoa'!P188</f>
        <v>1.7985611510791368E-3</v>
      </c>
      <c r="E7" s="30" t="s">
        <v>95</v>
      </c>
      <c r="F7" s="30" t="s">
        <v>95</v>
      </c>
      <c r="G7" s="1">
        <f>'Frumgögn Hagstofa'!U34/'Frumgögn Hagstofa'!$U$11</f>
        <v>7.9632465543644712E-2</v>
      </c>
      <c r="H7" s="1">
        <f>'Frumgögn Hagstofa'!U24/'Frumgögn Hagstofa'!$U$11</f>
        <v>7.7080142930066362E-2</v>
      </c>
      <c r="K7" t="s">
        <v>40</v>
      </c>
      <c r="L7" s="1">
        <f t="shared" si="2"/>
        <v>0.71942446043165476</v>
      </c>
      <c r="M7" s="1">
        <f t="shared" si="0"/>
        <v>0.17985611510791369</v>
      </c>
      <c r="P7" s="1">
        <f t="shared" si="0"/>
        <v>7.9632465543644715</v>
      </c>
      <c r="Q7" s="1">
        <f t="shared" si="0"/>
        <v>7.7080142930066362</v>
      </c>
      <c r="S7" t="s">
        <v>40</v>
      </c>
      <c r="T7" s="20">
        <f t="shared" si="3"/>
        <v>7.1942446043165471E-3</v>
      </c>
      <c r="U7" s="20">
        <f t="shared" si="4"/>
        <v>1.7985611510791368E-3</v>
      </c>
      <c r="V7" s="20"/>
      <c r="W7" s="20"/>
      <c r="X7" s="20">
        <f t="shared" si="7"/>
        <v>7.9632465543644712E-2</v>
      </c>
      <c r="Y7" s="20">
        <f t="shared" si="8"/>
        <v>7.7080142930066362E-2</v>
      </c>
    </row>
    <row r="8" spans="1:26" x14ac:dyDescent="0.25">
      <c r="B8" t="s">
        <v>42</v>
      </c>
      <c r="C8" s="29">
        <f>'Frumgögn LV&amp;Alcoa'!O189</f>
        <v>7.1942446043165471E-3</v>
      </c>
      <c r="D8" s="29">
        <f>'Frumgögn LV&amp;Alcoa'!P189</f>
        <v>8.9928057553956831E-3</v>
      </c>
      <c r="E8" s="30" t="s">
        <v>95</v>
      </c>
      <c r="F8" s="30" t="s">
        <v>95</v>
      </c>
      <c r="G8" s="1">
        <f>'Frumgögn Hagstofa'!U35/'Frumgögn Hagstofa'!$U$11</f>
        <v>2.7565084226646247E-2</v>
      </c>
      <c r="H8" s="1">
        <f>'Frumgögn Hagstofa'!U25/'Frumgögn Hagstofa'!$U$11</f>
        <v>1.0719754977029096E-2</v>
      </c>
      <c r="K8" t="s">
        <v>42</v>
      </c>
      <c r="L8" s="1">
        <f t="shared" si="2"/>
        <v>0.71942446043165476</v>
      </c>
      <c r="M8" s="1">
        <f t="shared" si="0"/>
        <v>0.89928057553956831</v>
      </c>
      <c r="P8" s="1">
        <f t="shared" si="0"/>
        <v>2.7565084226646248</v>
      </c>
      <c r="Q8" s="1">
        <f t="shared" si="0"/>
        <v>1.0719754977029097</v>
      </c>
      <c r="S8" t="s">
        <v>42</v>
      </c>
      <c r="T8" s="20">
        <f t="shared" si="3"/>
        <v>7.1942446043165471E-3</v>
      </c>
      <c r="U8" s="20">
        <f t="shared" si="4"/>
        <v>8.9928057553956831E-3</v>
      </c>
      <c r="V8" s="20"/>
      <c r="W8" s="20"/>
      <c r="X8" s="20">
        <f t="shared" si="7"/>
        <v>2.7565084226646247E-2</v>
      </c>
      <c r="Y8" s="20">
        <f t="shared" si="8"/>
        <v>1.0719754977029096E-2</v>
      </c>
    </row>
    <row r="9" spans="1:26" x14ac:dyDescent="0.25">
      <c r="B9" t="s">
        <v>29</v>
      </c>
      <c r="C9" s="29">
        <f>'Frumgögn LV&amp;Alcoa'!O190</f>
        <v>8.9928057553956831E-3</v>
      </c>
      <c r="D9" s="29">
        <f>'Frumgögn LV&amp;Alcoa'!P190</f>
        <v>1.7985611510791368E-3</v>
      </c>
      <c r="E9" s="1">
        <f>'Frumgögn LV&amp;Alcoa'!C176/'Frumgögn LV&amp;Alcoa'!$D$179</f>
        <v>4.3795620437956206E-2</v>
      </c>
      <c r="F9" s="1">
        <f>'Frumgögn LV&amp;Alcoa'!B176/'Frumgögn LV&amp;Alcoa'!D179</f>
        <v>0</v>
      </c>
      <c r="G9" s="1">
        <f>'Frumgögn Hagstofa'!U36/'Frumgögn Hagstofa'!$U$11</f>
        <v>0.12761613067891781</v>
      </c>
      <c r="H9" s="1">
        <f>'Frumgögn Hagstofa'!U26/'Frumgögn Hagstofa'!$U$11</f>
        <v>8.6778968861664113E-2</v>
      </c>
      <c r="K9" t="s">
        <v>29</v>
      </c>
      <c r="L9" s="1">
        <f t="shared" si="2"/>
        <v>0.89928057553956831</v>
      </c>
      <c r="M9" s="1">
        <f t="shared" si="0"/>
        <v>0.17985611510791369</v>
      </c>
      <c r="N9" s="1">
        <f t="shared" si="0"/>
        <v>4.3795620437956204</v>
      </c>
      <c r="O9" s="1">
        <f t="shared" si="0"/>
        <v>0</v>
      </c>
      <c r="P9" s="1">
        <f t="shared" si="0"/>
        <v>12.76161306789178</v>
      </c>
      <c r="Q9" s="1">
        <f t="shared" si="0"/>
        <v>8.6778968861664119</v>
      </c>
      <c r="S9" t="s">
        <v>29</v>
      </c>
      <c r="T9" s="20">
        <f t="shared" si="3"/>
        <v>8.9928057553956831E-3</v>
      </c>
      <c r="U9" s="20">
        <f t="shared" si="4"/>
        <v>1.7985611510791368E-3</v>
      </c>
      <c r="V9" s="20">
        <f t="shared" si="5"/>
        <v>4.3795620437956206E-2</v>
      </c>
      <c r="W9" s="20">
        <f t="shared" si="6"/>
        <v>0</v>
      </c>
      <c r="X9" s="20">
        <f t="shared" si="7"/>
        <v>0.12761613067891781</v>
      </c>
      <c r="Y9" s="20">
        <f t="shared" si="8"/>
        <v>8.6778968861664113E-2</v>
      </c>
    </row>
    <row r="10" spans="1:26" x14ac:dyDescent="0.25">
      <c r="B10" t="s">
        <v>43</v>
      </c>
      <c r="C10" s="29">
        <f>'Frumgögn LV&amp;Alcoa'!O191</f>
        <v>0</v>
      </c>
      <c r="D10" s="29">
        <f>'Frumgögn LV&amp;Alcoa'!P191</f>
        <v>5.3956834532374104E-3</v>
      </c>
      <c r="E10" s="30" t="s">
        <v>95</v>
      </c>
      <c r="F10" s="30" t="s">
        <v>95</v>
      </c>
      <c r="G10" s="1">
        <f>'Frumgögn Hagstofa'!U37/'Frumgögn Hagstofa'!$U$11</f>
        <v>5.1046452271567124E-3</v>
      </c>
      <c r="H10" s="1">
        <f>'Frumgögn Hagstofa'!U27/'Frumgögn Hagstofa'!$U$11</f>
        <v>2.2970903522205207E-2</v>
      </c>
      <c r="K10" t="s">
        <v>43</v>
      </c>
      <c r="L10" s="1">
        <f t="shared" si="2"/>
        <v>0</v>
      </c>
      <c r="M10" s="1">
        <f t="shared" si="0"/>
        <v>0.53956834532374098</v>
      </c>
      <c r="P10" s="1">
        <f t="shared" si="0"/>
        <v>0.51046452271567122</v>
      </c>
      <c r="Q10" s="1">
        <f t="shared" si="0"/>
        <v>2.2970903522205206</v>
      </c>
      <c r="S10" t="s">
        <v>43</v>
      </c>
      <c r="T10" s="20">
        <f t="shared" si="3"/>
        <v>0</v>
      </c>
      <c r="U10" s="20">
        <f t="shared" si="4"/>
        <v>5.3956834532374104E-3</v>
      </c>
      <c r="V10" s="20"/>
      <c r="W10" s="20"/>
      <c r="X10" s="20">
        <f t="shared" si="7"/>
        <v>5.1046452271567124E-3</v>
      </c>
      <c r="Y10" s="20">
        <f t="shared" si="8"/>
        <v>2.2970903522205207E-2</v>
      </c>
    </row>
    <row r="11" spans="1:26" x14ac:dyDescent="0.25">
      <c r="B11" t="s">
        <v>32</v>
      </c>
      <c r="C11" s="29">
        <f>'Frumgögn LV&amp;Alcoa'!O192</f>
        <v>7.1942446043165471E-3</v>
      </c>
      <c r="D11" s="29">
        <f>'Frumgögn LV&amp;Alcoa'!P192</f>
        <v>0.11510791366906475</v>
      </c>
      <c r="E11" s="1">
        <f>'Frumgögn LV&amp;Alcoa'!C177/'Frumgögn LV&amp;Alcoa'!$D$179</f>
        <v>7.2992700729927005E-3</v>
      </c>
      <c r="F11" s="1">
        <f>'Frumgögn LV&amp;Alcoa'!B177/'Frumgögn LV&amp;Alcoa'!D179</f>
        <v>0.27007299270072993</v>
      </c>
      <c r="G11" s="1">
        <f>'Frumgögn Hagstofa'!U38/'Frumgögn Hagstofa'!$U$11</f>
        <v>8.677896886166412E-3</v>
      </c>
      <c r="H11" s="1">
        <f>'Frumgögn Hagstofa'!U28/'Frumgögn Hagstofa'!$U$11</f>
        <v>9.7498723838693208E-2</v>
      </c>
      <c r="K11" t="s">
        <v>32</v>
      </c>
      <c r="L11" s="1">
        <f t="shared" si="2"/>
        <v>0.71942446043165476</v>
      </c>
      <c r="M11" s="1">
        <f t="shared" si="0"/>
        <v>11.510791366906476</v>
      </c>
      <c r="N11" s="1">
        <f t="shared" si="0"/>
        <v>0.72992700729927007</v>
      </c>
      <c r="O11" s="1">
        <f t="shared" si="0"/>
        <v>27.007299270072991</v>
      </c>
      <c r="P11" s="1">
        <f t="shared" si="0"/>
        <v>0.86778968861664119</v>
      </c>
      <c r="Q11" s="1">
        <f t="shared" si="0"/>
        <v>9.7498723838693202</v>
      </c>
      <c r="S11" t="s">
        <v>32</v>
      </c>
      <c r="T11" s="20">
        <f t="shared" si="3"/>
        <v>7.1942446043165471E-3</v>
      </c>
      <c r="U11" s="20">
        <f t="shared" si="4"/>
        <v>0.11510791366906475</v>
      </c>
      <c r="V11" s="20">
        <f t="shared" si="5"/>
        <v>7.2992700729927005E-3</v>
      </c>
      <c r="W11" s="20">
        <f t="shared" si="6"/>
        <v>0.27007299270072993</v>
      </c>
      <c r="X11" s="20">
        <f t="shared" si="7"/>
        <v>8.677896886166412E-3</v>
      </c>
      <c r="Y11" s="20">
        <f t="shared" si="8"/>
        <v>9.7498723838693208E-2</v>
      </c>
    </row>
    <row r="12" spans="1:26" x14ac:dyDescent="0.25">
      <c r="B12" t="s">
        <v>44</v>
      </c>
      <c r="C12" s="29">
        <f>'Frumgögn LV&amp;Alcoa'!O193</f>
        <v>0.16546762589928057</v>
      </c>
      <c r="D12" s="29">
        <f>'Frumgögn LV&amp;Alcoa'!P193</f>
        <v>0.47482014388489208</v>
      </c>
      <c r="E12" s="30" t="s">
        <v>95</v>
      </c>
      <c r="F12" s="30" t="s">
        <v>95</v>
      </c>
      <c r="G12" s="1">
        <f>'Frumgögn Hagstofa'!U39/'Frumgögn Hagstofa'!$U$11</f>
        <v>5.1046452271567124E-3</v>
      </c>
      <c r="H12" s="1">
        <f>'Frumgögn Hagstofa'!U29/'Frumgögn Hagstofa'!$U$11</f>
        <v>3.9816232771822356E-2</v>
      </c>
      <c r="K12" t="s">
        <v>44</v>
      </c>
      <c r="L12" s="1">
        <f t="shared" si="2"/>
        <v>16.546762589928058</v>
      </c>
      <c r="M12" s="1">
        <f t="shared" si="0"/>
        <v>47.482014388489205</v>
      </c>
      <c r="P12" s="1">
        <f t="shared" si="0"/>
        <v>0.51046452271567122</v>
      </c>
      <c r="Q12" s="1">
        <f t="shared" si="0"/>
        <v>3.9816232771822357</v>
      </c>
      <c r="S12" t="s">
        <v>44</v>
      </c>
      <c r="T12" s="20">
        <f t="shared" si="3"/>
        <v>0.16546762589928057</v>
      </c>
      <c r="U12" s="20">
        <f t="shared" si="4"/>
        <v>0.47482014388489208</v>
      </c>
      <c r="V12" s="20"/>
      <c r="W12" s="20"/>
      <c r="X12" s="20">
        <f t="shared" si="7"/>
        <v>5.1046452271567124E-3</v>
      </c>
      <c r="Y12" s="20">
        <f t="shared" si="8"/>
        <v>3.9816232771822356E-2</v>
      </c>
    </row>
    <row r="13" spans="1:26" x14ac:dyDescent="0.25">
      <c r="B13" s="19" t="s">
        <v>64</v>
      </c>
      <c r="C13" s="29">
        <f>'Frumgögn LV&amp;Alcoa'!O194</f>
        <v>0</v>
      </c>
      <c r="D13" s="29">
        <f>'Frumgögn LV&amp;Alcoa'!P194</f>
        <v>0</v>
      </c>
      <c r="E13" s="1">
        <f>'Frumgögn LV&amp;Alcoa'!C178/'Frumgögn LV&amp;Alcoa'!$D$179</f>
        <v>4.3795620437956206E-2</v>
      </c>
      <c r="F13" s="1">
        <f>'Frumgögn LV&amp;Alcoa'!B178/'Frumgögn LV&amp;Alcoa'!D179</f>
        <v>2.1897810218978103E-2</v>
      </c>
      <c r="G13" s="1">
        <f>'Frumgögn Hagstofa'!U40/'Frumgögn Hagstofa'!$U$11</f>
        <v>2.2460438999489536E-2</v>
      </c>
      <c r="H13" s="1">
        <f>'Frumgögn Hagstofa'!U30/'Frumgögn Hagstofa'!$U$11</f>
        <v>3.5222052067381319E-2</v>
      </c>
      <c r="K13" s="19" t="s">
        <v>64</v>
      </c>
      <c r="L13" s="1">
        <f>C13*100</f>
        <v>0</v>
      </c>
      <c r="M13" s="1">
        <f t="shared" ref="M13" si="9">D13*100</f>
        <v>0</v>
      </c>
      <c r="N13" s="1">
        <f t="shared" ref="N13" si="10">E13*100</f>
        <v>4.3795620437956204</v>
      </c>
      <c r="O13" s="1">
        <f t="shared" ref="O13" si="11">F13*100</f>
        <v>2.1897810218978102</v>
      </c>
      <c r="P13" s="1">
        <f t="shared" ref="P13" si="12">G13*100</f>
        <v>2.2460438999489534</v>
      </c>
      <c r="Q13" s="1">
        <f t="shared" ref="Q13" si="13">H13*100</f>
        <v>3.522205206738132</v>
      </c>
      <c r="S13" s="19" t="s">
        <v>64</v>
      </c>
      <c r="T13" s="20">
        <f t="shared" si="3"/>
        <v>0</v>
      </c>
      <c r="U13" s="20">
        <f t="shared" si="4"/>
        <v>0</v>
      </c>
      <c r="V13" s="20">
        <f t="shared" si="5"/>
        <v>4.3795620437956206E-2</v>
      </c>
      <c r="W13" s="20">
        <f t="shared" si="6"/>
        <v>2.1897810218978103E-2</v>
      </c>
      <c r="X13" s="20">
        <f t="shared" si="7"/>
        <v>2.2460438999489536E-2</v>
      </c>
      <c r="Y13" s="20">
        <f t="shared" si="8"/>
        <v>3.5222052067381319E-2</v>
      </c>
    </row>
    <row r="16" spans="1:26" x14ac:dyDescent="0.25">
      <c r="A16" s="3" t="s">
        <v>99</v>
      </c>
      <c r="K16" s="1" t="s">
        <v>96</v>
      </c>
      <c r="S16" s="1" t="s">
        <v>97</v>
      </c>
    </row>
    <row r="17" spans="2:25" x14ac:dyDescent="0.25">
      <c r="B17" t="s">
        <v>95</v>
      </c>
      <c r="C17" t="s">
        <v>89</v>
      </c>
      <c r="D17" t="s">
        <v>91</v>
      </c>
      <c r="E17" t="s">
        <v>90</v>
      </c>
      <c r="F17" t="s">
        <v>92</v>
      </c>
      <c r="G17" t="s">
        <v>93</v>
      </c>
      <c r="H17" t="s">
        <v>94</v>
      </c>
      <c r="K17" s="1" t="s">
        <v>95</v>
      </c>
      <c r="L17" s="1" t="s">
        <v>89</v>
      </c>
      <c r="M17" s="1" t="s">
        <v>91</v>
      </c>
      <c r="N17" s="1" t="s">
        <v>90</v>
      </c>
      <c r="O17" s="1" t="s">
        <v>92</v>
      </c>
      <c r="P17" s="1" t="s">
        <v>93</v>
      </c>
      <c r="Q17" s="1" t="s">
        <v>94</v>
      </c>
      <c r="S17" s="1" t="s">
        <v>95</v>
      </c>
      <c r="T17" s="1" t="s">
        <v>89</v>
      </c>
      <c r="U17" s="1" t="s">
        <v>91</v>
      </c>
      <c r="V17" s="1" t="s">
        <v>90</v>
      </c>
      <c r="W17" s="1" t="s">
        <v>92</v>
      </c>
      <c r="X17" s="1" t="s">
        <v>93</v>
      </c>
      <c r="Y17" s="1" t="s">
        <v>94</v>
      </c>
    </row>
    <row r="18" spans="2:25" x14ac:dyDescent="0.25">
      <c r="B18">
        <v>2007</v>
      </c>
      <c r="C18" s="137">
        <f>'Frumgögn LV&amp;Alcoa'!M14</f>
        <v>0.32169999999999999</v>
      </c>
      <c r="D18" s="137">
        <f>'Frumgögn LV&amp;Alcoa'!N14</f>
        <v>0.67830000000000001</v>
      </c>
      <c r="E18" s="137">
        <f>'Frumgögn LV&amp;Alcoa'!C14</f>
        <v>0.28899999999999998</v>
      </c>
      <c r="F18" s="137">
        <f>'Frumgögn LV&amp;Alcoa'!D14</f>
        <v>0.71099999999999997</v>
      </c>
      <c r="G18" s="137">
        <v>0.45275362318840578</v>
      </c>
      <c r="H18" s="137">
        <v>0.54666666666666663</v>
      </c>
      <c r="K18" s="1">
        <f>Table1[[#This Row],[null]]</f>
        <v>2007</v>
      </c>
      <c r="L18" s="1">
        <f>Table1[[#This Row],[Fjarðaál - KVK]]*100</f>
        <v>32.17</v>
      </c>
      <c r="M18" s="1">
        <f>Table1[[#This Row],[Fjarðaál - KK]]*100</f>
        <v>67.83</v>
      </c>
      <c r="N18" s="1">
        <f>Table1[[#This Row],[Landsvirkjun - KVK]]*100</f>
        <v>28.9</v>
      </c>
      <c r="O18" s="1">
        <f>Table1[[#This Row],[Landsvirkjun - KK]]*100</f>
        <v>71.099999999999994</v>
      </c>
      <c r="P18" s="1">
        <f>Table1[[#This Row],[Ísland - KVK]]*100</f>
        <v>45.275362318840578</v>
      </c>
      <c r="Q18" s="1">
        <f>Table1[[#This Row],[Ísland - KK]]*100</f>
        <v>54.666666666666664</v>
      </c>
      <c r="S18" s="1">
        <f>Table1[[#This Row],[null]]</f>
        <v>2007</v>
      </c>
      <c r="T18" s="20">
        <f>Table1[[#This Row],[Fjarðaál - KVK]]</f>
        <v>0.32169999999999999</v>
      </c>
      <c r="U18" s="20">
        <f>Table1[[#This Row],[Fjarðaál - KK]]</f>
        <v>0.67830000000000001</v>
      </c>
      <c r="V18" s="20">
        <f>Table1[[#This Row],[Landsvirkjun - KVK]]</f>
        <v>0.28899999999999998</v>
      </c>
      <c r="W18" s="20">
        <f>Table1[[#This Row],[Landsvirkjun - KK]]</f>
        <v>0.71099999999999997</v>
      </c>
      <c r="X18" s="20">
        <f>Table1[[#This Row],[Ísland - KVK]]</f>
        <v>0.45275362318840578</v>
      </c>
      <c r="Y18" s="20">
        <f>Table1[[#This Row],[Ísland - KK]]</f>
        <v>0.54666666666666663</v>
      </c>
    </row>
    <row r="19" spans="2:25" x14ac:dyDescent="0.25">
      <c r="B19">
        <v>2008</v>
      </c>
      <c r="C19" s="29">
        <f>'Frumgögn LV&amp;Alcoa'!M27</f>
        <v>0.29320000000000002</v>
      </c>
      <c r="D19" s="29">
        <f>'Frumgögn LV&amp;Alcoa'!N27</f>
        <v>0.70679999999999998</v>
      </c>
      <c r="E19" s="137">
        <f>'Frumgögn LV&amp;Alcoa'!F27</f>
        <v>0.28160919540229884</v>
      </c>
      <c r="F19" s="137">
        <f>'Frumgögn LV&amp;Alcoa'!G27</f>
        <v>0.7183908045977011</v>
      </c>
      <c r="G19" s="137">
        <v>0.45480713874496259</v>
      </c>
      <c r="H19" s="137">
        <v>0.54519286125503741</v>
      </c>
      <c r="K19" s="1">
        <f>Table1[[#This Row],[null]]</f>
        <v>2008</v>
      </c>
      <c r="L19" s="1">
        <f>Table1[[#This Row],[Fjarðaál - KVK]]*100</f>
        <v>29.32</v>
      </c>
      <c r="M19" s="1">
        <f>Table1[[#This Row],[Fjarðaál - KK]]*100</f>
        <v>70.679999999999993</v>
      </c>
      <c r="N19" s="1">
        <f>Table1[[#This Row],[Landsvirkjun - KVK]]*100</f>
        <v>28.160919540229884</v>
      </c>
      <c r="O19" s="1">
        <f>Table1[[#This Row],[Landsvirkjun - KK]]*100</f>
        <v>71.839080459770116</v>
      </c>
      <c r="P19" s="1">
        <f>Table1[[#This Row],[Ísland - KVK]]*100</f>
        <v>45.48071387449626</v>
      </c>
      <c r="Q19" s="1">
        <f>Table1[[#This Row],[Ísland - KK]]*100</f>
        <v>54.51928612550374</v>
      </c>
      <c r="S19" s="1">
        <f>Table1[[#This Row],[null]]</f>
        <v>2008</v>
      </c>
      <c r="T19" s="20">
        <f>Table1[[#This Row],[Fjarðaál - KVK]]</f>
        <v>0.29320000000000002</v>
      </c>
      <c r="U19" s="20">
        <f>Table1[[#This Row],[Fjarðaál - KK]]</f>
        <v>0.70679999999999998</v>
      </c>
      <c r="V19" s="20">
        <f>Table1[[#This Row],[Landsvirkjun - KVK]]</f>
        <v>0.28160919540229884</v>
      </c>
      <c r="W19" s="20">
        <f>Table1[[#This Row],[Landsvirkjun - KK]]</f>
        <v>0.7183908045977011</v>
      </c>
      <c r="X19" s="20">
        <f>Table1[[#This Row],[Ísland - KVK]]</f>
        <v>0.45480713874496259</v>
      </c>
      <c r="Y19" s="20">
        <f>Table1[[#This Row],[Ísland - KK]]</f>
        <v>0.54519286125503741</v>
      </c>
    </row>
    <row r="20" spans="2:25" x14ac:dyDescent="0.25">
      <c r="B20">
        <v>2009</v>
      </c>
      <c r="C20" s="137">
        <f>'Frumgögn LV&amp;Alcoa'!M40</f>
        <v>0.25740000000000002</v>
      </c>
      <c r="D20" s="137">
        <f>'Frumgögn LV&amp;Alcoa'!N40</f>
        <v>0.74260000000000004</v>
      </c>
      <c r="E20" s="137">
        <f>'Frumgögn LV&amp;Alcoa'!F40</f>
        <v>0.29347826086956524</v>
      </c>
      <c r="F20" s="137">
        <f>'Frumgögn LV&amp;Alcoa'!G40</f>
        <v>0.70652173913043481</v>
      </c>
      <c r="G20" s="137">
        <v>0.47297297297297297</v>
      </c>
      <c r="H20" s="137">
        <v>0.52702702702702697</v>
      </c>
      <c r="K20" s="1">
        <f>Table1[[#This Row],[null]]</f>
        <v>2009</v>
      </c>
      <c r="L20" s="1">
        <f>Table1[[#This Row],[Fjarðaál - KVK]]*100</f>
        <v>25.740000000000002</v>
      </c>
      <c r="M20" s="1">
        <f>Table1[[#This Row],[Fjarðaál - KK]]*100</f>
        <v>74.260000000000005</v>
      </c>
      <c r="N20" s="1">
        <f>Table1[[#This Row],[Landsvirkjun - KVK]]*100</f>
        <v>29.347826086956523</v>
      </c>
      <c r="O20" s="1">
        <f>Table1[[#This Row],[Landsvirkjun - KK]]*100</f>
        <v>70.652173913043484</v>
      </c>
      <c r="P20" s="1">
        <f>Table1[[#This Row],[Ísland - KVK]]*100</f>
        <v>47.297297297297298</v>
      </c>
      <c r="Q20" s="1">
        <f>Table1[[#This Row],[Ísland - KK]]*100</f>
        <v>52.702702702702695</v>
      </c>
      <c r="S20" s="1">
        <f>Table1[[#This Row],[null]]</f>
        <v>2009</v>
      </c>
      <c r="T20" s="20">
        <f>Table1[[#This Row],[Fjarðaál - KVK]]</f>
        <v>0.25740000000000002</v>
      </c>
      <c r="U20" s="20">
        <f>Table1[[#This Row],[Fjarðaál - KK]]</f>
        <v>0.74260000000000004</v>
      </c>
      <c r="V20" s="20">
        <f>Table1[[#This Row],[Landsvirkjun - KVK]]</f>
        <v>0.29347826086956524</v>
      </c>
      <c r="W20" s="20">
        <f>Table1[[#This Row],[Landsvirkjun - KK]]</f>
        <v>0.70652173913043481</v>
      </c>
      <c r="X20" s="20">
        <f>Table1[[#This Row],[Ísland - KVK]]</f>
        <v>0.47297297297297297</v>
      </c>
      <c r="Y20" s="20">
        <f>Table1[[#This Row],[Ísland - KK]]</f>
        <v>0.52702702702702697</v>
      </c>
    </row>
    <row r="21" spans="2:25" x14ac:dyDescent="0.25">
      <c r="B21">
        <v>2010</v>
      </c>
      <c r="C21" s="137">
        <f>'Frumgögn LV&amp;Alcoa'!M53</f>
        <v>0.2447</v>
      </c>
      <c r="D21" s="137">
        <f>'Frumgögn LV&amp;Alcoa'!N53</f>
        <v>0.75529999999999997</v>
      </c>
      <c r="E21" s="137">
        <f>'Frumgögn LV&amp;Alcoa'!F53</f>
        <v>0.30526315789473685</v>
      </c>
      <c r="F21" s="137">
        <f>'Frumgögn LV&amp;Alcoa'!G53</f>
        <v>0.69473684210526321</v>
      </c>
      <c r="G21" s="137">
        <v>0.47566235366605053</v>
      </c>
      <c r="H21" s="137">
        <v>0.5237215033887862</v>
      </c>
      <c r="K21" s="1">
        <f>Table1[[#This Row],[null]]</f>
        <v>2010</v>
      </c>
      <c r="L21" s="1">
        <f>Table1[[#This Row],[Fjarðaál - KVK]]*100</f>
        <v>24.47</v>
      </c>
      <c r="M21" s="1">
        <f>Table1[[#This Row],[Fjarðaál - KK]]*100</f>
        <v>75.53</v>
      </c>
      <c r="N21" s="1">
        <f>Table1[[#This Row],[Landsvirkjun - KVK]]*100</f>
        <v>30.526315789473685</v>
      </c>
      <c r="O21" s="1">
        <f>Table1[[#This Row],[Landsvirkjun - KK]]*100</f>
        <v>69.473684210526315</v>
      </c>
      <c r="P21" s="1">
        <f>Table1[[#This Row],[Ísland - KVK]]*100</f>
        <v>47.566235366605056</v>
      </c>
      <c r="Q21" s="1">
        <f>Table1[[#This Row],[Ísland - KK]]*100</f>
        <v>52.372150338878619</v>
      </c>
      <c r="S21" s="1">
        <f>Table1[[#This Row],[null]]</f>
        <v>2010</v>
      </c>
      <c r="T21" s="20">
        <f>Table1[[#This Row],[Fjarðaál - KVK]]</f>
        <v>0.2447</v>
      </c>
      <c r="U21" s="20">
        <f>Table1[[#This Row],[Fjarðaál - KK]]</f>
        <v>0.75529999999999997</v>
      </c>
      <c r="V21" s="20">
        <f>Table1[[#This Row],[Landsvirkjun - KVK]]</f>
        <v>0.30526315789473685</v>
      </c>
      <c r="W21" s="20">
        <f>Table1[[#This Row],[Landsvirkjun - KK]]</f>
        <v>0.69473684210526321</v>
      </c>
      <c r="X21" s="20">
        <f>Table1[[#This Row],[Ísland - KVK]]</f>
        <v>0.47566235366605053</v>
      </c>
      <c r="Y21" s="20">
        <f>Table1[[#This Row],[Ísland - KK]]</f>
        <v>0.5237215033887862</v>
      </c>
    </row>
    <row r="22" spans="2:25" x14ac:dyDescent="0.25">
      <c r="B22">
        <v>2011</v>
      </c>
      <c r="C22" s="137">
        <f>'Frumgögn LV&amp;Alcoa'!R66</f>
        <v>0.2198019801980198</v>
      </c>
      <c r="D22" s="137">
        <f>'Frumgögn LV&amp;Alcoa'!S66</f>
        <v>0.78019801980198022</v>
      </c>
      <c r="E22" s="137">
        <f>'Frumgögn LV&amp;Alcoa'!F66</f>
        <v>0.30603448275862066</v>
      </c>
      <c r="F22" s="137">
        <f>'Frumgögn LV&amp;Alcoa'!G66</f>
        <v>0.69396551724137934</v>
      </c>
      <c r="G22" s="137">
        <v>0.4766871165644172</v>
      </c>
      <c r="H22" s="137">
        <v>0.52392638036809813</v>
      </c>
      <c r="K22" s="1">
        <f>Table1[[#This Row],[null]]</f>
        <v>2011</v>
      </c>
      <c r="L22" s="1">
        <f>Table1[[#This Row],[Fjarðaál - KVK]]*100</f>
        <v>21.980198019801982</v>
      </c>
      <c r="M22" s="1">
        <f>Table1[[#This Row],[Fjarðaál - KK]]*100</f>
        <v>78.019801980198025</v>
      </c>
      <c r="N22" s="1">
        <f>Table1[[#This Row],[Landsvirkjun - KVK]]*100</f>
        <v>30.603448275862068</v>
      </c>
      <c r="O22" s="1">
        <f>Table1[[#This Row],[Landsvirkjun - KK]]*100</f>
        <v>69.396551724137936</v>
      </c>
      <c r="P22" s="1">
        <f>Table1[[#This Row],[Ísland - KVK]]*100</f>
        <v>47.668711656441722</v>
      </c>
      <c r="Q22" s="1">
        <f>Table1[[#This Row],[Ísland - KK]]*100</f>
        <v>52.392638036809814</v>
      </c>
      <c r="S22" s="1">
        <f>Table1[[#This Row],[null]]</f>
        <v>2011</v>
      </c>
      <c r="T22" s="20">
        <f>Table1[[#This Row],[Fjarðaál - KVK]]</f>
        <v>0.2198019801980198</v>
      </c>
      <c r="U22" s="20">
        <f>Table1[[#This Row],[Fjarðaál - KK]]</f>
        <v>0.78019801980198022</v>
      </c>
      <c r="V22" s="20">
        <f>Table1[[#This Row],[Landsvirkjun - KVK]]</f>
        <v>0.30603448275862066</v>
      </c>
      <c r="W22" s="20">
        <f>Table1[[#This Row],[Landsvirkjun - KK]]</f>
        <v>0.69396551724137934</v>
      </c>
      <c r="X22" s="20">
        <f>Table1[[#This Row],[Ísland - KVK]]</f>
        <v>0.4766871165644172</v>
      </c>
      <c r="Y22" s="20">
        <f>Table1[[#This Row],[Ísland - KK]]</f>
        <v>0.52392638036809813</v>
      </c>
    </row>
    <row r="23" spans="2:25" x14ac:dyDescent="0.25">
      <c r="B23">
        <v>2012</v>
      </c>
      <c r="C23" s="137">
        <f>'Frumgögn LV&amp;Alcoa'!M79</f>
        <v>0.21560000000000001</v>
      </c>
      <c r="D23" s="137">
        <f>'Frumgögn LV&amp;Alcoa'!N79</f>
        <v>0.78439999999999999</v>
      </c>
      <c r="E23" s="137">
        <f>'Frumgögn LV&amp;Alcoa'!F79</f>
        <v>0.2834008097165992</v>
      </c>
      <c r="F23" s="137">
        <f>'Frumgögn LV&amp;Alcoa'!G79</f>
        <v>0.7165991902834008</v>
      </c>
      <c r="G23" s="137">
        <v>0.47852389594676348</v>
      </c>
      <c r="H23" s="137">
        <v>0.52147610405323652</v>
      </c>
      <c r="K23" s="1">
        <f>Table1[[#This Row],[null]]</f>
        <v>2012</v>
      </c>
      <c r="L23" s="1">
        <f>Table1[[#This Row],[Fjarðaál - KVK]]*100</f>
        <v>21.560000000000002</v>
      </c>
      <c r="M23" s="1">
        <f>Table1[[#This Row],[Fjarðaál - KK]]*100</f>
        <v>78.44</v>
      </c>
      <c r="N23" s="1">
        <f>Table1[[#This Row],[Landsvirkjun - KVK]]*100</f>
        <v>28.340080971659919</v>
      </c>
      <c r="O23" s="1">
        <f>Table1[[#This Row],[Landsvirkjun - KK]]*100</f>
        <v>71.659919028340084</v>
      </c>
      <c r="P23" s="1">
        <f>Table1[[#This Row],[Ísland - KVK]]*100</f>
        <v>47.852389594676346</v>
      </c>
      <c r="Q23" s="1">
        <f>Table1[[#This Row],[Ísland - KK]]*100</f>
        <v>52.147610405323654</v>
      </c>
      <c r="S23" s="1">
        <f>Table1[[#This Row],[null]]</f>
        <v>2012</v>
      </c>
      <c r="T23" s="20">
        <f>Table1[[#This Row],[Fjarðaál - KVK]]</f>
        <v>0.21560000000000001</v>
      </c>
      <c r="U23" s="20">
        <f>Table1[[#This Row],[Fjarðaál - KK]]</f>
        <v>0.78439999999999999</v>
      </c>
      <c r="V23" s="20">
        <f>Table1[[#This Row],[Landsvirkjun - KVK]]</f>
        <v>0.2834008097165992</v>
      </c>
      <c r="W23" s="20">
        <f>Table1[[#This Row],[Landsvirkjun - KK]]</f>
        <v>0.7165991902834008</v>
      </c>
      <c r="X23" s="20">
        <f>Table1[[#This Row],[Ísland - KVK]]</f>
        <v>0.47852389594676348</v>
      </c>
      <c r="Y23" s="20">
        <f>Table1[[#This Row],[Ísland - KK]]</f>
        <v>0.52147610405323652</v>
      </c>
    </row>
    <row r="24" spans="2:25" x14ac:dyDescent="0.25">
      <c r="B24">
        <v>2013</v>
      </c>
      <c r="C24" s="137">
        <f>'Frumgögn LV&amp;Alcoa'!O92</f>
        <v>0.21260000000000001</v>
      </c>
      <c r="D24" s="137">
        <f>'Frumgögn LV&amp;Alcoa'!P92</f>
        <v>0.78739999999999999</v>
      </c>
      <c r="E24" s="137">
        <f>'Frumgögn LV&amp;Alcoa'!F92</f>
        <v>0.28225806451612906</v>
      </c>
      <c r="F24" s="137">
        <f>'Frumgögn LV&amp;Alcoa'!G92</f>
        <v>0.717741935483871</v>
      </c>
      <c r="G24" s="137">
        <v>0.47805734347571677</v>
      </c>
      <c r="H24" s="137">
        <v>0.52194265652428318</v>
      </c>
      <c r="K24" s="1">
        <f>Table1[[#This Row],[null]]</f>
        <v>2013</v>
      </c>
      <c r="L24" s="1">
        <f>Table1[[#This Row],[Fjarðaál - KVK]]*100</f>
        <v>21.26</v>
      </c>
      <c r="M24" s="1">
        <f>Table1[[#This Row],[Fjarðaál - KK]]*100</f>
        <v>78.739999999999995</v>
      </c>
      <c r="N24" s="1">
        <f>Table1[[#This Row],[Landsvirkjun - KVK]]*100</f>
        <v>28.225806451612907</v>
      </c>
      <c r="O24" s="1">
        <f>Table1[[#This Row],[Landsvirkjun - KK]]*100</f>
        <v>71.774193548387103</v>
      </c>
      <c r="P24" s="1">
        <f>Table1[[#This Row],[Ísland - KVK]]*100</f>
        <v>47.805734347571679</v>
      </c>
      <c r="Q24" s="1">
        <f>Table1[[#This Row],[Ísland - KK]]*100</f>
        <v>52.194265652428321</v>
      </c>
      <c r="S24" s="1">
        <f>Table1[[#This Row],[null]]</f>
        <v>2013</v>
      </c>
      <c r="T24" s="20">
        <f>Table1[[#This Row],[Fjarðaál - KVK]]</f>
        <v>0.21260000000000001</v>
      </c>
      <c r="U24" s="20">
        <f>Table1[[#This Row],[Fjarðaál - KK]]</f>
        <v>0.78739999999999999</v>
      </c>
      <c r="V24" s="20">
        <f>Table1[[#This Row],[Landsvirkjun - KVK]]</f>
        <v>0.28225806451612906</v>
      </c>
      <c r="W24" s="20">
        <f>Table1[[#This Row],[Landsvirkjun - KK]]</f>
        <v>0.717741935483871</v>
      </c>
      <c r="X24" s="20">
        <f>Table1[[#This Row],[Ísland - KVK]]</f>
        <v>0.47805734347571677</v>
      </c>
      <c r="Y24" s="20">
        <f>Table1[[#This Row],[Ísland - KK]]</f>
        <v>0.52194265652428318</v>
      </c>
    </row>
    <row r="25" spans="2:25" x14ac:dyDescent="0.25">
      <c r="B25">
        <v>2014</v>
      </c>
      <c r="C25" s="137">
        <f>'Frumgögn LV&amp;Alcoa'!O105</f>
        <v>0.21260000000000001</v>
      </c>
      <c r="D25" s="137">
        <f>'Frumgögn LV&amp;Alcoa'!P105</f>
        <v>0.78739999999999999</v>
      </c>
      <c r="E25" s="137">
        <f>'Frumgögn LV&amp;Alcoa'!F105</f>
        <v>0.27868852459016391</v>
      </c>
      <c r="F25" s="137">
        <f>'Frumgögn LV&amp;Alcoa'!G105</f>
        <v>0.72131147540983609</v>
      </c>
      <c r="G25" s="137">
        <v>0.47377521613832851</v>
      </c>
      <c r="H25" s="137">
        <v>0.52622478386167149</v>
      </c>
      <c r="K25" s="1">
        <f>Table1[[#This Row],[null]]</f>
        <v>2014</v>
      </c>
      <c r="L25" s="1">
        <f>Table1[[#This Row],[Fjarðaál - KVK]]*100</f>
        <v>21.26</v>
      </c>
      <c r="M25" s="1">
        <f>Table1[[#This Row],[Fjarðaál - KK]]*100</f>
        <v>78.739999999999995</v>
      </c>
      <c r="N25" s="1">
        <f>Table1[[#This Row],[Landsvirkjun - KVK]]*100</f>
        <v>27.868852459016392</v>
      </c>
      <c r="O25" s="1">
        <f>Table1[[#This Row],[Landsvirkjun - KK]]*100</f>
        <v>72.131147540983605</v>
      </c>
      <c r="P25" s="1">
        <f>Table1[[#This Row],[Ísland - KVK]]*100</f>
        <v>47.377521613832855</v>
      </c>
      <c r="Q25" s="1">
        <f>Table1[[#This Row],[Ísland - KK]]*100</f>
        <v>52.622478386167145</v>
      </c>
      <c r="S25" s="1">
        <f>Table1[[#This Row],[null]]</f>
        <v>2014</v>
      </c>
      <c r="T25" s="20">
        <f>Table1[[#This Row],[Fjarðaál - KVK]]</f>
        <v>0.21260000000000001</v>
      </c>
      <c r="U25" s="20">
        <f>Table1[[#This Row],[Fjarðaál - KK]]</f>
        <v>0.78739999999999999</v>
      </c>
      <c r="V25" s="20">
        <f>Table1[[#This Row],[Landsvirkjun - KVK]]</f>
        <v>0.27868852459016391</v>
      </c>
      <c r="W25" s="20">
        <f>Table1[[#This Row],[Landsvirkjun - KK]]</f>
        <v>0.72131147540983609</v>
      </c>
      <c r="X25" s="20">
        <f>Table1[[#This Row],[Ísland - KVK]]</f>
        <v>0.47377521613832851</v>
      </c>
      <c r="Y25" s="20">
        <f>Table1[[#This Row],[Ísland - KK]]</f>
        <v>0.52622478386167149</v>
      </c>
    </row>
    <row r="26" spans="2:25" x14ac:dyDescent="0.25">
      <c r="B26">
        <v>2015</v>
      </c>
      <c r="C26" s="137">
        <f>'Frumgögn LV&amp;Alcoa'!O118</f>
        <v>0.23180000000000001</v>
      </c>
      <c r="D26" s="137">
        <f>'Frumgögn LV&amp;Alcoa'!P118</f>
        <v>0.76819999999999999</v>
      </c>
      <c r="E26" s="137">
        <f>'Frumgögn LV&amp;Alcoa'!F118</f>
        <v>0.27586206896551724</v>
      </c>
      <c r="F26" s="137">
        <f>'Frumgögn LV&amp;Alcoa'!G118</f>
        <v>0.72413793103448276</v>
      </c>
      <c r="G26" s="137">
        <v>0.47254575707154745</v>
      </c>
      <c r="H26" s="137">
        <v>0.52745424292845255</v>
      </c>
      <c r="K26" s="1">
        <f>Table1[[#This Row],[null]]</f>
        <v>2015</v>
      </c>
      <c r="L26" s="1">
        <f>Table1[[#This Row],[Fjarðaál - KVK]]*100</f>
        <v>23.18</v>
      </c>
      <c r="M26" s="1">
        <f>Table1[[#This Row],[Fjarðaál - KK]]*100</f>
        <v>76.819999999999993</v>
      </c>
      <c r="N26" s="1">
        <f>Table1[[#This Row],[Landsvirkjun - KVK]]*100</f>
        <v>27.586206896551722</v>
      </c>
      <c r="O26" s="1">
        <f>Table1[[#This Row],[Landsvirkjun - KK]]*100</f>
        <v>72.41379310344827</v>
      </c>
      <c r="P26" s="1">
        <f>Table1[[#This Row],[Ísland - KVK]]*100</f>
        <v>47.254575707154743</v>
      </c>
      <c r="Q26" s="1">
        <f>Table1[[#This Row],[Ísland - KK]]*100</f>
        <v>52.745424292845257</v>
      </c>
      <c r="S26" s="1">
        <f>Table1[[#This Row],[null]]</f>
        <v>2015</v>
      </c>
      <c r="T26" s="20">
        <f>Table1[[#This Row],[Fjarðaál - KVK]]</f>
        <v>0.23180000000000001</v>
      </c>
      <c r="U26" s="20">
        <f>Table1[[#This Row],[Fjarðaál - KK]]</f>
        <v>0.76819999999999999</v>
      </c>
      <c r="V26" s="20">
        <f>Table1[[#This Row],[Landsvirkjun - KVK]]</f>
        <v>0.27586206896551724</v>
      </c>
      <c r="W26" s="20">
        <f>Table1[[#This Row],[Landsvirkjun - KK]]</f>
        <v>0.72413793103448276</v>
      </c>
      <c r="X26" s="20">
        <f>Table1[[#This Row],[Ísland - KVK]]</f>
        <v>0.47254575707154745</v>
      </c>
      <c r="Y26" s="20">
        <f>Table1[[#This Row],[Ísland - KK]]</f>
        <v>0.52745424292845255</v>
      </c>
    </row>
    <row r="27" spans="2:25" x14ac:dyDescent="0.25">
      <c r="B27">
        <v>2016</v>
      </c>
      <c r="C27" s="137">
        <f>'Frumgögn LV&amp;Alcoa'!O131</f>
        <v>0.2455</v>
      </c>
      <c r="D27" s="137">
        <f>'Frumgögn LV&amp;Alcoa'!P131</f>
        <v>0.75449999999999995</v>
      </c>
      <c r="E27" s="137">
        <f>'Frumgögn LV&amp;Alcoa'!F128</f>
        <v>0.28832116788321166</v>
      </c>
      <c r="F27" s="137">
        <f>'Frumgögn LV&amp;Alcoa'!G128</f>
        <v>0.71167883211678828</v>
      </c>
      <c r="G27" s="137">
        <v>0.46698615548455802</v>
      </c>
      <c r="H27" s="137">
        <v>0.53301384451544198</v>
      </c>
      <c r="K27" s="1">
        <f>Table1[[#This Row],[null]]</f>
        <v>2016</v>
      </c>
      <c r="L27" s="1">
        <f>Table1[[#This Row],[Fjarðaál - KVK]]*100</f>
        <v>24.55</v>
      </c>
      <c r="M27" s="1">
        <f>Table1[[#This Row],[Fjarðaál - KK]]*100</f>
        <v>75.449999999999989</v>
      </c>
      <c r="N27" s="1">
        <f>Table1[[#This Row],[Landsvirkjun - KVK]]*100</f>
        <v>28.832116788321166</v>
      </c>
      <c r="O27" s="1">
        <f>Table1[[#This Row],[Landsvirkjun - KK]]*100</f>
        <v>71.167883211678827</v>
      </c>
      <c r="P27" s="1">
        <f>Table1[[#This Row],[Ísland - KVK]]*100</f>
        <v>46.698615548455805</v>
      </c>
      <c r="Q27" s="1">
        <f>Table1[[#This Row],[Ísland - KK]]*100</f>
        <v>53.301384451544195</v>
      </c>
      <c r="S27" s="1">
        <f>Table1[[#This Row],[null]]</f>
        <v>2016</v>
      </c>
      <c r="T27" s="20">
        <f>Table1[[#This Row],[Fjarðaál - KVK]]</f>
        <v>0.2455</v>
      </c>
      <c r="U27" s="20">
        <f>Table1[[#This Row],[Fjarðaál - KK]]</f>
        <v>0.75449999999999995</v>
      </c>
      <c r="V27" s="20">
        <f>Table1[[#This Row],[Landsvirkjun - KVK]]</f>
        <v>0.28832116788321166</v>
      </c>
      <c r="W27" s="20">
        <f>Table1[[#This Row],[Landsvirkjun - KK]]</f>
        <v>0.71167883211678828</v>
      </c>
      <c r="X27" s="20">
        <f>Table1[[#This Row],[Ísland - KVK]]</f>
        <v>0.46698615548455802</v>
      </c>
      <c r="Y27" s="20">
        <f>Table1[[#This Row],[Ísland - KK]]</f>
        <v>0.53301384451544198</v>
      </c>
    </row>
    <row r="28" spans="2:25" x14ac:dyDescent="0.25">
      <c r="B28">
        <v>2017</v>
      </c>
      <c r="C28" s="137">
        <f>'Frumgögn LV&amp;Alcoa'!R143</f>
        <v>0.23897058823529413</v>
      </c>
      <c r="D28" s="137">
        <f>'Frumgögn LV&amp;Alcoa'!S143</f>
        <v>0.76102941176470584</v>
      </c>
      <c r="E28" s="137">
        <f>'Frumgögn LV&amp;Alcoa'!F139</f>
        <v>0.32323232323232326</v>
      </c>
      <c r="F28" s="137">
        <f>'Frumgögn LV&amp;Alcoa'!G139</f>
        <v>0.6767676767676768</v>
      </c>
      <c r="G28" s="137">
        <v>0.46336320506062201</v>
      </c>
      <c r="H28" s="137">
        <v>0.53663679493937799</v>
      </c>
      <c r="K28" s="1">
        <f>Table1[[#This Row],[null]]</f>
        <v>2017</v>
      </c>
      <c r="L28" s="1">
        <f>Table1[[#This Row],[Fjarðaál - KVK]]*100</f>
        <v>23.897058823529413</v>
      </c>
      <c r="M28" s="1">
        <f>Table1[[#This Row],[Fjarðaál - KK]]*100</f>
        <v>76.10294117647058</v>
      </c>
      <c r="N28" s="1">
        <f>Table1[[#This Row],[Landsvirkjun - KVK]]*100</f>
        <v>32.323232323232325</v>
      </c>
      <c r="O28" s="1">
        <f>Table1[[#This Row],[Landsvirkjun - KK]]*100</f>
        <v>67.676767676767682</v>
      </c>
      <c r="P28" s="1">
        <f>Table1[[#This Row],[Ísland - KVK]]*100</f>
        <v>46.336320506062201</v>
      </c>
      <c r="Q28" s="1">
        <f>Table1[[#This Row],[Ísland - KK]]*100</f>
        <v>53.663679493937799</v>
      </c>
      <c r="S28" s="1">
        <f>Table1[[#This Row],[null]]</f>
        <v>2017</v>
      </c>
      <c r="T28" s="20">
        <f>Table1[[#This Row],[Fjarðaál - KVK]]</f>
        <v>0.23897058823529413</v>
      </c>
      <c r="U28" s="20">
        <f>Table1[[#This Row],[Fjarðaál - KK]]</f>
        <v>0.76102941176470584</v>
      </c>
      <c r="V28" s="20">
        <f>Table1[[#This Row],[Landsvirkjun - KVK]]</f>
        <v>0.32323232323232326</v>
      </c>
      <c r="W28" s="20">
        <f>Table1[[#This Row],[Landsvirkjun - KK]]</f>
        <v>0.6767676767676768</v>
      </c>
      <c r="X28" s="20">
        <f>Table1[[#This Row],[Ísland - KVK]]</f>
        <v>0.46336320506062201</v>
      </c>
      <c r="Y28" s="20">
        <f>Table1[[#This Row],[Ísland - KK]]</f>
        <v>0.53663679493937799</v>
      </c>
    </row>
    <row r="29" spans="2:25" x14ac:dyDescent="0.25">
      <c r="B29">
        <v>2018</v>
      </c>
      <c r="C29" s="137">
        <f>'Frumgögn LV&amp;Alcoa'!O156</f>
        <v>0.21929999999999999</v>
      </c>
      <c r="D29" s="137">
        <f>'Frumgögn LV&amp;Alcoa'!P156</f>
        <v>0.78069999999999995</v>
      </c>
      <c r="E29" s="137">
        <f>'Frumgögn LV&amp;Alcoa'!F150</f>
        <v>0.29642857142857143</v>
      </c>
      <c r="F29" s="137">
        <f>'Frumgögn LV&amp;Alcoa'!G150</f>
        <v>0.70357142857142863</v>
      </c>
      <c r="G29" s="137">
        <v>0.458592132505176</v>
      </c>
      <c r="H29" s="137">
        <v>0.54140786749482406</v>
      </c>
      <c r="K29" s="1">
        <f>Table1[[#This Row],[null]]</f>
        <v>2018</v>
      </c>
      <c r="L29" s="1">
        <f>Table1[[#This Row],[Fjarðaál - KVK]]*100</f>
        <v>21.93</v>
      </c>
      <c r="M29" s="1">
        <f>Table1[[#This Row],[Fjarðaál - KK]]*100</f>
        <v>78.069999999999993</v>
      </c>
      <c r="N29" s="1">
        <f>Table1[[#This Row],[Landsvirkjun - KVK]]*100</f>
        <v>29.642857142857142</v>
      </c>
      <c r="O29" s="1">
        <f>Table1[[#This Row],[Landsvirkjun - KK]]*100</f>
        <v>70.357142857142861</v>
      </c>
      <c r="P29" s="1">
        <f>Table1[[#This Row],[Ísland - KVK]]*100</f>
        <v>45.859213250517598</v>
      </c>
      <c r="Q29" s="1">
        <f>Table1[[#This Row],[Ísland - KK]]*100</f>
        <v>54.140786749482409</v>
      </c>
      <c r="S29" s="1">
        <f>Table1[[#This Row],[null]]</f>
        <v>2018</v>
      </c>
      <c r="T29" s="20">
        <f>Table1[[#This Row],[Fjarðaál - KVK]]</f>
        <v>0.21929999999999999</v>
      </c>
      <c r="U29" s="20">
        <f>Table1[[#This Row],[Fjarðaál - KK]]</f>
        <v>0.78069999999999995</v>
      </c>
      <c r="V29" s="20">
        <f>Table1[[#This Row],[Landsvirkjun - KVK]]</f>
        <v>0.29642857142857143</v>
      </c>
      <c r="W29" s="20">
        <f>Table1[[#This Row],[Landsvirkjun - KK]]</f>
        <v>0.70357142857142863</v>
      </c>
      <c r="X29" s="20">
        <f>Table1[[#This Row],[Ísland - KVK]]</f>
        <v>0.458592132505176</v>
      </c>
      <c r="Y29" s="20">
        <f>Table1[[#This Row],[Ísland - KK]]</f>
        <v>0.54140786749482406</v>
      </c>
    </row>
    <row r="30" spans="2:25" x14ac:dyDescent="0.25">
      <c r="B30">
        <v>2019</v>
      </c>
      <c r="C30" s="137">
        <f>'Frumgögn LV&amp;Alcoa'!O169</f>
        <v>0.23473282442748092</v>
      </c>
      <c r="D30" s="137">
        <f>'Frumgögn LV&amp;Alcoa'!P169</f>
        <v>0.76526717557251911</v>
      </c>
      <c r="E30" s="137">
        <f>'Frumgögn LV&amp;Alcoa'!F161</f>
        <v>0.29225352112676056</v>
      </c>
      <c r="F30" s="137">
        <f>'Frumgögn LV&amp;Alcoa'!G161</f>
        <v>0.70774647887323938</v>
      </c>
      <c r="G30" s="137">
        <v>0.45948717948717949</v>
      </c>
      <c r="H30" s="137">
        <v>0.54051282051282046</v>
      </c>
      <c r="K30" s="1">
        <f>Table1[[#This Row],[null]]</f>
        <v>2019</v>
      </c>
      <c r="L30" s="1">
        <f>Table1[[#This Row],[Fjarðaál - KVK]]*100</f>
        <v>23.473282442748094</v>
      </c>
      <c r="M30" s="1">
        <f>Table1[[#This Row],[Fjarðaál - KK]]*100</f>
        <v>76.526717557251914</v>
      </c>
      <c r="N30" s="1">
        <f>Table1[[#This Row],[Landsvirkjun - KVK]]*100</f>
        <v>29.225352112676056</v>
      </c>
      <c r="O30" s="1">
        <f>Table1[[#This Row],[Landsvirkjun - KK]]*100</f>
        <v>70.774647887323937</v>
      </c>
      <c r="P30" s="1">
        <f>Table1[[#This Row],[Ísland - KVK]]*100</f>
        <v>45.948717948717949</v>
      </c>
      <c r="Q30" s="1">
        <f>Table1[[#This Row],[Ísland - KK]]*100</f>
        <v>54.051282051282044</v>
      </c>
      <c r="S30" s="1">
        <f>Table1[[#This Row],[null]]</f>
        <v>2019</v>
      </c>
      <c r="T30" s="20">
        <f>Table1[[#This Row],[Fjarðaál - KVK]]</f>
        <v>0.23473282442748092</v>
      </c>
      <c r="U30" s="20">
        <f>Table1[[#This Row],[Fjarðaál - KK]]</f>
        <v>0.76526717557251911</v>
      </c>
      <c r="V30" s="20">
        <f>Table1[[#This Row],[Landsvirkjun - KVK]]</f>
        <v>0.29225352112676056</v>
      </c>
      <c r="W30" s="20">
        <f>Table1[[#This Row],[Landsvirkjun - KK]]</f>
        <v>0.70774647887323938</v>
      </c>
      <c r="X30" s="20">
        <f>Table1[[#This Row],[Ísland - KVK]]</f>
        <v>0.45948717948717949</v>
      </c>
      <c r="Y30" s="20">
        <f>Table1[[#This Row],[Ísland - KK]]</f>
        <v>0.54051282051282046</v>
      </c>
    </row>
    <row r="31" spans="2:25" x14ac:dyDescent="0.25">
      <c r="B31" s="1">
        <v>2020</v>
      </c>
      <c r="C31" s="29">
        <f>'Frumgögn LV&amp;Alcoa'!O182</f>
        <v>0.24632352941176472</v>
      </c>
      <c r="D31" s="29">
        <f>'Frumgögn LV&amp;Alcoa'!P182</f>
        <v>0.75367647058823528</v>
      </c>
      <c r="E31" s="29">
        <f>'Frumgögn LV&amp;Alcoa'!F170</f>
        <v>0.30175438596491228</v>
      </c>
      <c r="F31" s="29">
        <f>'Frumgögn LV&amp;Alcoa'!G170</f>
        <v>0.69824561403508767</v>
      </c>
      <c r="G31" s="137">
        <v>0.45824524312896409</v>
      </c>
      <c r="H31" s="137">
        <v>0.54175475687103591</v>
      </c>
      <c r="K31" s="1">
        <f>Table1[[#This Row],[null]]</f>
        <v>2020</v>
      </c>
      <c r="L31" s="1">
        <f>Table1[[#This Row],[Fjarðaál - KVK]]*100</f>
        <v>24.632352941176471</v>
      </c>
      <c r="M31" s="1">
        <f>Table1[[#This Row],[Fjarðaál - KK]]*100</f>
        <v>75.367647058823522</v>
      </c>
      <c r="N31" s="1">
        <f>Table1[[#This Row],[Landsvirkjun - KVK]]*100</f>
        <v>30.175438596491226</v>
      </c>
      <c r="O31" s="1">
        <f>Table1[[#This Row],[Landsvirkjun - KK]]*100</f>
        <v>69.824561403508767</v>
      </c>
      <c r="P31" s="1">
        <f>Table1[[#This Row],[Ísland - KVK]]*100</f>
        <v>45.824524312896408</v>
      </c>
      <c r="Q31" s="1">
        <f>Table1[[#This Row],[Ísland - KK]]*100</f>
        <v>54.175475687103592</v>
      </c>
      <c r="S31" s="1">
        <f>Table1[[#This Row],[null]]</f>
        <v>2020</v>
      </c>
      <c r="T31" s="20">
        <f>Table1[[#This Row],[Fjarðaál - KVK]]</f>
        <v>0.24632352941176472</v>
      </c>
      <c r="U31" s="20">
        <f>Table1[[#This Row],[Fjarðaál - KK]]</f>
        <v>0.75367647058823528</v>
      </c>
      <c r="V31" s="20">
        <f>Table1[[#This Row],[Landsvirkjun - KVK]]</f>
        <v>0.30175438596491228</v>
      </c>
      <c r="W31" s="20">
        <f>Table1[[#This Row],[Landsvirkjun - KK]]</f>
        <v>0.69824561403508767</v>
      </c>
      <c r="X31" s="20">
        <f>Table1[[#This Row],[Ísland - KVK]]</f>
        <v>0.45824524312896409</v>
      </c>
      <c r="Y31" s="20">
        <f>Table1[[#This Row],[Ísland - KK]]</f>
        <v>0.54175475687103591</v>
      </c>
    </row>
    <row r="32" spans="2:25" x14ac:dyDescent="0.25">
      <c r="B32" s="1">
        <v>2021</v>
      </c>
      <c r="C32" s="29">
        <f>'Frumgögn LV&amp;Alcoa'!O195</f>
        <v>0.24279999999999999</v>
      </c>
      <c r="D32" s="29">
        <f>'Frumgögn LV&amp;Alcoa'!P195</f>
        <v>0.75719999999999998</v>
      </c>
      <c r="E32" s="29">
        <f>'Frumgögn LV&amp;Alcoa'!F179</f>
        <v>0.28467153284671531</v>
      </c>
      <c r="F32" s="29">
        <f>'Frumgögn LV&amp;Alcoa'!G179</f>
        <v>0.71532846715328469</v>
      </c>
      <c r="G32" s="137">
        <v>0.45890760592138846</v>
      </c>
      <c r="H32" s="137">
        <v>0.54109239407861154</v>
      </c>
      <c r="K32" s="1">
        <f>Table1[[#This Row],[null]]</f>
        <v>2021</v>
      </c>
      <c r="L32" s="1">
        <f>Table1[[#This Row],[Fjarðaál - KVK]]*100</f>
        <v>24.279999999999998</v>
      </c>
      <c r="M32" s="1">
        <f>Table1[[#This Row],[Fjarðaál - KK]]*100</f>
        <v>75.72</v>
      </c>
      <c r="N32" s="1">
        <f>Table1[[#This Row],[Landsvirkjun - KVK]]*100</f>
        <v>28.467153284671532</v>
      </c>
      <c r="O32" s="1">
        <f>Table1[[#This Row],[Landsvirkjun - KK]]*100</f>
        <v>71.532846715328475</v>
      </c>
      <c r="P32" s="1">
        <f>Table1[[#This Row],[Ísland - KVK]]*100</f>
        <v>45.890760592138847</v>
      </c>
      <c r="Q32" s="1">
        <f>Table1[[#This Row],[Ísland - KK]]*100</f>
        <v>54.109239407861153</v>
      </c>
      <c r="S32" s="1">
        <f>Table1[[#This Row],[null]]</f>
        <v>2021</v>
      </c>
      <c r="T32" s="20">
        <f>Table1[[#This Row],[Fjarðaál - KVK]]</f>
        <v>0.24279999999999999</v>
      </c>
      <c r="U32" s="20">
        <f>Table1[[#This Row],[Fjarðaál - KK]]</f>
        <v>0.75719999999999998</v>
      </c>
      <c r="V32" s="20">
        <f>Table1[[#This Row],[Landsvirkjun - KVK]]</f>
        <v>0.28467153284671531</v>
      </c>
      <c r="W32" s="20">
        <f>Table1[[#This Row],[Landsvirkjun - KK]]</f>
        <v>0.71532846715328469</v>
      </c>
      <c r="X32" s="20">
        <f>Table1[[#This Row],[Ísland - KVK]]</f>
        <v>0.45890760592138846</v>
      </c>
      <c r="Y32" s="20">
        <f>Table1[[#This Row],[Ísland - KK]]</f>
        <v>0.54109239407861154</v>
      </c>
    </row>
    <row r="33" spans="1:8" x14ac:dyDescent="0.25">
      <c r="G33" s="28"/>
      <c r="H33" s="28"/>
    </row>
    <row r="35" spans="1:8" x14ac:dyDescent="0.25">
      <c r="A35" s="1" t="s">
        <v>86</v>
      </c>
    </row>
  </sheetData>
  <mergeCells count="1">
    <mergeCell ref="A1:N1"/>
  </mergeCells>
  <pageMargins left="0.70866141732283472" right="0.70866141732283472" top="0.74803149606299213" bottom="0.74803149606299213" header="0.31496062992125984" footer="0.31496062992125984"/>
  <pageSetup paperSize="9" pageOrder="overThenDown" orientation="landscape" r:id="rId1"/>
  <headerFooter>
    <oddHeader>&amp;L&amp;A&amp;C&amp;G&amp;R&amp;P af &amp;N</oddHeader>
    <oddFooter>&amp;C&amp;"-,Bold"https://www.sjalfbaerni.is</oddFooter>
  </headerFooter>
  <legacyDrawingHF r:id="rId2"/>
  <tableParts count="6">
    <tablePart r:id="rId3"/>
    <tablePart r:id="rId4"/>
    <tablePart r:id="rId5"/>
    <tablePart r:id="rId6"/>
    <tablePart r:id="rId7"/>
    <tablePart r:id="rId8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8BD0E-4C7A-4825-9735-1D4925535A31}">
  <sheetPr>
    <tabColor theme="9" tint="0.59999389629810485"/>
    <pageSetUpPr fitToPage="1"/>
  </sheetPr>
  <dimension ref="A1:Z108"/>
  <sheetViews>
    <sheetView tabSelected="1" zoomScaleNormal="100" workbookViewId="0">
      <selection activeCell="A5" sqref="A5:Y108"/>
    </sheetView>
  </sheetViews>
  <sheetFormatPr defaultColWidth="9.28515625" defaultRowHeight="15" x14ac:dyDescent="0.25"/>
  <cols>
    <col min="1" max="1" width="29" style="1" bestFit="1" customWidth="1"/>
    <col min="2" max="2" width="10.42578125" style="1" bestFit="1" customWidth="1"/>
    <col min="3" max="16384" width="9.28515625" style="1"/>
  </cols>
  <sheetData>
    <row r="1" spans="1:26" s="4" customFormat="1" ht="21" x14ac:dyDescent="0.35">
      <c r="A1" s="33" t="s">
        <v>116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5"/>
      <c r="K2" s="5"/>
      <c r="L2" s="5"/>
      <c r="M2" s="5"/>
      <c r="N2" s="2"/>
      <c r="O2" s="2"/>
      <c r="P2" s="2"/>
      <c r="Q2" s="2"/>
      <c r="R2" s="2"/>
      <c r="S2" s="2"/>
      <c r="T2" s="2"/>
    </row>
    <row r="3" spans="1:26" ht="15" customHeight="1" x14ac:dyDescent="0.25">
      <c r="A3" s="7"/>
      <c r="B3" s="7"/>
      <c r="C3" s="7"/>
      <c r="D3" s="7"/>
      <c r="E3" s="7"/>
      <c r="F3" s="7"/>
      <c r="G3" s="7"/>
      <c r="H3" s="7"/>
      <c r="I3" s="7"/>
      <c r="J3" s="5"/>
      <c r="K3" s="5"/>
      <c r="L3" s="5"/>
      <c r="M3" s="5"/>
      <c r="N3" s="2"/>
      <c r="O3" s="2"/>
      <c r="P3" s="2"/>
      <c r="Q3" s="2"/>
      <c r="R3" s="2"/>
      <c r="S3" s="2"/>
      <c r="T3" s="2"/>
    </row>
    <row r="4" spans="1:26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5"/>
      <c r="K4" s="5"/>
      <c r="L4" s="5"/>
      <c r="M4" s="5"/>
      <c r="N4" s="2"/>
      <c r="O4" s="2"/>
      <c r="P4" s="2"/>
      <c r="Q4" s="2"/>
      <c r="R4" s="2"/>
      <c r="S4" s="2"/>
      <c r="T4" s="2"/>
    </row>
    <row r="5" spans="1:26" ht="15" customHeight="1" x14ac:dyDescent="0.25">
      <c r="A5" s="36"/>
      <c r="B5" s="37">
        <v>2007</v>
      </c>
      <c r="C5" s="37"/>
      <c r="D5" s="37"/>
      <c r="E5" s="37">
        <v>2008</v>
      </c>
      <c r="F5" s="37"/>
      <c r="G5" s="37"/>
      <c r="H5" s="37">
        <v>2009</v>
      </c>
      <c r="I5" s="37"/>
      <c r="J5" s="37"/>
      <c r="K5" s="37">
        <v>2010</v>
      </c>
      <c r="L5" s="37"/>
      <c r="M5" s="37"/>
      <c r="N5" s="37">
        <v>2011</v>
      </c>
      <c r="O5" s="37"/>
      <c r="P5" s="37"/>
      <c r="Q5" s="37">
        <v>2012</v>
      </c>
      <c r="R5" s="37"/>
      <c r="S5" s="37"/>
      <c r="T5" s="37">
        <v>2013</v>
      </c>
      <c r="U5" s="37"/>
      <c r="V5" s="37"/>
      <c r="W5" s="37">
        <v>2014</v>
      </c>
      <c r="X5" s="37"/>
      <c r="Y5" s="37"/>
    </row>
    <row r="6" spans="1:26" ht="15" customHeight="1" x14ac:dyDescent="0.25">
      <c r="A6" s="38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</row>
    <row r="7" spans="1:26" ht="30" x14ac:dyDescent="0.25">
      <c r="A7" s="39" t="s">
        <v>101</v>
      </c>
      <c r="B7" s="40" t="s">
        <v>102</v>
      </c>
      <c r="C7" s="40" t="s">
        <v>103</v>
      </c>
      <c r="D7" s="40" t="s">
        <v>104</v>
      </c>
      <c r="E7" s="41" t="s">
        <v>102</v>
      </c>
      <c r="F7" s="41" t="s">
        <v>103</v>
      </c>
      <c r="G7" s="41" t="s">
        <v>104</v>
      </c>
      <c r="H7" s="40" t="s">
        <v>102</v>
      </c>
      <c r="I7" s="40" t="s">
        <v>103</v>
      </c>
      <c r="J7" s="40" t="s">
        <v>104</v>
      </c>
      <c r="K7" s="41" t="s">
        <v>102</v>
      </c>
      <c r="L7" s="41" t="s">
        <v>103</v>
      </c>
      <c r="M7" s="41" t="s">
        <v>104</v>
      </c>
      <c r="N7" s="40" t="s">
        <v>102</v>
      </c>
      <c r="O7" s="40" t="s">
        <v>103</v>
      </c>
      <c r="P7" s="40" t="s">
        <v>104</v>
      </c>
      <c r="Q7" s="42" t="s">
        <v>102</v>
      </c>
      <c r="R7" s="42" t="s">
        <v>103</v>
      </c>
      <c r="S7" s="42" t="s">
        <v>104</v>
      </c>
      <c r="T7" s="40" t="s">
        <v>102</v>
      </c>
      <c r="U7" s="40" t="s">
        <v>103</v>
      </c>
      <c r="V7" s="40" t="s">
        <v>104</v>
      </c>
      <c r="W7" s="40" t="s">
        <v>102</v>
      </c>
      <c r="X7" s="40" t="s">
        <v>103</v>
      </c>
      <c r="Y7" s="40" t="s">
        <v>104</v>
      </c>
    </row>
    <row r="8" spans="1:26" ht="15" customHeight="1" x14ac:dyDescent="0.25">
      <c r="A8" s="43" t="s">
        <v>105</v>
      </c>
      <c r="B8" s="44">
        <v>2.7E-2</v>
      </c>
      <c r="C8" s="44">
        <v>0.41699999999999998</v>
      </c>
      <c r="D8" s="44">
        <v>0.58299999999999996</v>
      </c>
      <c r="E8" s="45" t="s">
        <v>106</v>
      </c>
      <c r="F8" s="46"/>
      <c r="G8" s="47"/>
      <c r="H8" s="44">
        <v>6.5000000000000002E-2</v>
      </c>
      <c r="I8" s="44">
        <v>0.17399999999999999</v>
      </c>
      <c r="J8" s="44">
        <v>0.82599999999999996</v>
      </c>
      <c r="K8" s="48">
        <v>7.3999999999999996E-2</v>
      </c>
      <c r="L8" s="48">
        <v>0.17499999999999999</v>
      </c>
      <c r="M8" s="48">
        <v>0.82499999999999996</v>
      </c>
      <c r="N8" s="44">
        <v>7.1287128712871281E-2</v>
      </c>
      <c r="O8" s="44">
        <v>0.22222222222222221</v>
      </c>
      <c r="P8" s="44">
        <v>0.77777777777777779</v>
      </c>
      <c r="Q8" s="49">
        <v>6.4885496183206104E-2</v>
      </c>
      <c r="R8" s="49">
        <v>0.14705882352941177</v>
      </c>
      <c r="S8" s="49">
        <v>0.8529411764705882</v>
      </c>
      <c r="T8" s="50">
        <v>6.3E-2</v>
      </c>
      <c r="U8" s="50">
        <v>0.125</v>
      </c>
      <c r="V8" s="50">
        <v>0.875</v>
      </c>
      <c r="W8" s="50">
        <v>7.3200000000000001E-2</v>
      </c>
      <c r="X8" s="50">
        <v>0.16669999999999999</v>
      </c>
      <c r="Y8" s="50">
        <v>0.83330000000000004</v>
      </c>
    </row>
    <row r="9" spans="1:26" x14ac:dyDescent="0.25">
      <c r="A9" s="51" t="s">
        <v>27</v>
      </c>
      <c r="B9" s="52">
        <v>9.0999999999999998E-2</v>
      </c>
      <c r="C9" s="52">
        <v>0.24399999999999999</v>
      </c>
      <c r="D9" s="52">
        <v>0.75600000000000001</v>
      </c>
      <c r="E9" s="53"/>
      <c r="F9" s="54"/>
      <c r="G9" s="55"/>
      <c r="H9" s="52">
        <v>0.114</v>
      </c>
      <c r="I9" s="52">
        <v>0.33300000000000002</v>
      </c>
      <c r="J9" s="52">
        <v>0.66700000000000004</v>
      </c>
      <c r="K9" s="56">
        <v>9.8000000000000004E-2</v>
      </c>
      <c r="L9" s="56">
        <v>0.32100000000000001</v>
      </c>
      <c r="M9" s="56">
        <v>0.67900000000000005</v>
      </c>
      <c r="N9" s="52">
        <v>0.12673267326732673</v>
      </c>
      <c r="O9" s="52">
        <v>0.28125</v>
      </c>
      <c r="P9" s="52">
        <v>0.71875</v>
      </c>
      <c r="Q9" s="49">
        <v>0.12022900763358779</v>
      </c>
      <c r="R9" s="49">
        <v>0.2857142857142857</v>
      </c>
      <c r="S9" s="49">
        <v>0.7142857142857143</v>
      </c>
      <c r="T9" s="50">
        <v>0.122</v>
      </c>
      <c r="U9" s="50">
        <v>0.3226</v>
      </c>
      <c r="V9" s="50">
        <v>0.6774</v>
      </c>
      <c r="W9" s="50">
        <v>0.1138</v>
      </c>
      <c r="X9" s="50">
        <v>0.33929999999999999</v>
      </c>
      <c r="Y9" s="50">
        <v>0.66069999999999995</v>
      </c>
    </row>
    <row r="10" spans="1:26" x14ac:dyDescent="0.25">
      <c r="A10" s="57" t="s">
        <v>40</v>
      </c>
      <c r="B10" s="58">
        <v>4.2000000000000003E-2</v>
      </c>
      <c r="C10" s="58">
        <v>0.105</v>
      </c>
      <c r="D10" s="58">
        <v>0.89500000000000002</v>
      </c>
      <c r="E10" s="53"/>
      <c r="F10" s="54"/>
      <c r="G10" s="55"/>
      <c r="H10" s="58">
        <v>2.1000000000000001E-2</v>
      </c>
      <c r="I10" s="58">
        <v>6.7000000000000004E-2</v>
      </c>
      <c r="J10" s="58">
        <v>0.93300000000000005</v>
      </c>
      <c r="K10" s="59">
        <v>1.0999999999999999E-2</v>
      </c>
      <c r="L10" s="59">
        <v>0</v>
      </c>
      <c r="M10" s="59">
        <v>1</v>
      </c>
      <c r="N10" s="58">
        <v>1.9801980198019802E-2</v>
      </c>
      <c r="O10" s="58">
        <v>0</v>
      </c>
      <c r="P10" s="58">
        <v>1</v>
      </c>
      <c r="Q10" s="60">
        <v>1.717557251908397E-2</v>
      </c>
      <c r="R10" s="60">
        <v>0.1111111111111111</v>
      </c>
      <c r="S10" s="60">
        <v>0.88888888888888884</v>
      </c>
      <c r="T10" s="61">
        <v>1.5699999999999999E-2</v>
      </c>
      <c r="U10" s="61">
        <v>0.125</v>
      </c>
      <c r="V10" s="61">
        <v>0.875</v>
      </c>
      <c r="W10" s="61">
        <v>2.64E-2</v>
      </c>
      <c r="X10" s="61">
        <v>0.15379999999999999</v>
      </c>
      <c r="Y10" s="61">
        <v>0.84619999999999995</v>
      </c>
    </row>
    <row r="11" spans="1:26" x14ac:dyDescent="0.25">
      <c r="A11" s="51" t="s">
        <v>107</v>
      </c>
      <c r="B11" s="52">
        <v>0.126</v>
      </c>
      <c r="C11" s="52">
        <v>0.26300000000000001</v>
      </c>
      <c r="D11" s="52">
        <v>0.73699999999999999</v>
      </c>
      <c r="E11" s="53"/>
      <c r="F11" s="54"/>
      <c r="G11" s="55"/>
      <c r="H11" s="52">
        <v>3.5000000000000003E-2</v>
      </c>
      <c r="I11" s="52">
        <v>0.16</v>
      </c>
      <c r="J11" s="52">
        <v>0.84</v>
      </c>
      <c r="K11" s="56">
        <v>6.7000000000000004E-2</v>
      </c>
      <c r="L11" s="56">
        <v>0.16700000000000001</v>
      </c>
      <c r="M11" s="56">
        <v>0.83299999999999996</v>
      </c>
      <c r="N11" s="52">
        <v>2.1782178217821781E-2</v>
      </c>
      <c r="O11" s="52">
        <v>0.27272727272727271</v>
      </c>
      <c r="P11" s="52">
        <v>0.72727272727272729</v>
      </c>
      <c r="Q11" s="49">
        <v>2.8625954198473282E-2</v>
      </c>
      <c r="R11" s="49">
        <v>0.26666666666666666</v>
      </c>
      <c r="S11" s="49">
        <v>0.73333333333333328</v>
      </c>
      <c r="T11" s="50">
        <v>2.5600000000000001E-2</v>
      </c>
      <c r="U11" s="50">
        <v>0.30769999999999997</v>
      </c>
      <c r="V11" s="50">
        <v>0.69230000000000003</v>
      </c>
      <c r="W11" s="50">
        <v>2.4400000000000002E-2</v>
      </c>
      <c r="X11" s="50">
        <v>0.33329999999999999</v>
      </c>
      <c r="Y11" s="50">
        <v>0.66669999999999996</v>
      </c>
    </row>
    <row r="12" spans="1:26" x14ac:dyDescent="0.25">
      <c r="A12" s="51" t="s">
        <v>29</v>
      </c>
      <c r="B12" s="52">
        <v>2.4E-2</v>
      </c>
      <c r="C12" s="52">
        <v>1</v>
      </c>
      <c r="D12" s="52">
        <v>0</v>
      </c>
      <c r="E12" s="53"/>
      <c r="F12" s="54"/>
      <c r="G12" s="55"/>
      <c r="H12" s="52">
        <v>3.6999999999999998E-2</v>
      </c>
      <c r="I12" s="52">
        <v>0.80800000000000005</v>
      </c>
      <c r="J12" s="52">
        <v>0.192</v>
      </c>
      <c r="K12" s="56">
        <v>6.5000000000000002E-2</v>
      </c>
      <c r="L12" s="56">
        <v>0.68600000000000005</v>
      </c>
      <c r="M12" s="56">
        <v>0.314</v>
      </c>
      <c r="N12" s="52">
        <v>4.7524752475247525E-2</v>
      </c>
      <c r="O12" s="52">
        <v>0.79166666666666663</v>
      </c>
      <c r="P12" s="52">
        <v>0.20833333333333334</v>
      </c>
      <c r="Q12" s="49">
        <v>4.5801526717557252E-2</v>
      </c>
      <c r="R12" s="49">
        <v>0.79166666666666663</v>
      </c>
      <c r="S12" s="49">
        <v>0.20833333333333334</v>
      </c>
      <c r="T12" s="50">
        <v>3.5400000000000001E-2</v>
      </c>
      <c r="U12" s="50">
        <v>0.83330000000000004</v>
      </c>
      <c r="V12" s="50">
        <v>0.16669999999999999</v>
      </c>
      <c r="W12" s="50">
        <v>2.8500000000000001E-2</v>
      </c>
      <c r="X12" s="50">
        <v>0.85709999999999997</v>
      </c>
      <c r="Y12" s="50">
        <v>0.1429</v>
      </c>
    </row>
    <row r="13" spans="1:26" x14ac:dyDescent="0.25">
      <c r="A13" s="51" t="s">
        <v>30</v>
      </c>
      <c r="B13" s="52">
        <v>0</v>
      </c>
      <c r="C13" s="52" t="s">
        <v>71</v>
      </c>
      <c r="D13" s="52" t="s">
        <v>72</v>
      </c>
      <c r="E13" s="53"/>
      <c r="F13" s="54"/>
      <c r="G13" s="55"/>
      <c r="H13" s="52">
        <v>0</v>
      </c>
      <c r="I13" s="52" t="s">
        <v>72</v>
      </c>
      <c r="J13" s="52" t="s">
        <v>72</v>
      </c>
      <c r="K13" s="56">
        <v>0</v>
      </c>
      <c r="L13" s="56">
        <v>0</v>
      </c>
      <c r="M13" s="56">
        <v>0</v>
      </c>
      <c r="N13" s="52">
        <v>3.5643564356435641E-2</v>
      </c>
      <c r="O13" s="52">
        <v>0.1111111111111111</v>
      </c>
      <c r="P13" s="52">
        <v>0.88888888888888884</v>
      </c>
      <c r="Q13" s="49">
        <v>3.4351145038167941E-2</v>
      </c>
      <c r="R13" s="49">
        <v>0.1111111111111111</v>
      </c>
      <c r="S13" s="49">
        <v>0.88888888888888884</v>
      </c>
      <c r="T13" s="50">
        <v>4.3299999999999998E-2</v>
      </c>
      <c r="U13" s="50">
        <v>0.13639999999999999</v>
      </c>
      <c r="V13" s="50">
        <v>0.86360000000000003</v>
      </c>
      <c r="W13" s="50">
        <v>4.07E-2</v>
      </c>
      <c r="X13" s="50">
        <v>0.05</v>
      </c>
      <c r="Y13" s="50">
        <v>0.95</v>
      </c>
    </row>
    <row r="14" spans="1:26" x14ac:dyDescent="0.25">
      <c r="A14" s="51" t="s">
        <v>32</v>
      </c>
      <c r="B14" s="52">
        <v>0.152</v>
      </c>
      <c r="C14" s="52">
        <v>4.2999999999999997E-2</v>
      </c>
      <c r="D14" s="52">
        <v>0.95699999999999996</v>
      </c>
      <c r="E14" s="53"/>
      <c r="F14" s="54"/>
      <c r="G14" s="55"/>
      <c r="H14" s="52">
        <v>0.124</v>
      </c>
      <c r="I14" s="52">
        <v>5.7000000000000002E-2</v>
      </c>
      <c r="J14" s="52">
        <v>0.94299999999999995</v>
      </c>
      <c r="K14" s="56">
        <v>0.126</v>
      </c>
      <c r="L14" s="56">
        <v>4.3999999999999997E-2</v>
      </c>
      <c r="M14" s="56">
        <v>0.95599999999999996</v>
      </c>
      <c r="N14" s="52">
        <v>0.14455445544554454</v>
      </c>
      <c r="O14" s="52">
        <v>6.8493150684931503E-2</v>
      </c>
      <c r="P14" s="52">
        <v>0.93150684931506844</v>
      </c>
      <c r="Q14" s="49">
        <v>0.14694656488549618</v>
      </c>
      <c r="R14" s="49">
        <v>7.792207792207792E-2</v>
      </c>
      <c r="S14" s="49">
        <v>0.92207792207792205</v>
      </c>
      <c r="T14" s="50">
        <v>0.1555</v>
      </c>
      <c r="U14" s="50">
        <v>6.3299999999999995E-2</v>
      </c>
      <c r="V14" s="50">
        <v>0.93669999999999998</v>
      </c>
      <c r="W14" s="50">
        <v>0.124</v>
      </c>
      <c r="X14" s="50">
        <v>3.2800000000000003E-2</v>
      </c>
      <c r="Y14" s="50">
        <v>0.96719999999999995</v>
      </c>
    </row>
    <row r="15" spans="1:26" x14ac:dyDescent="0.25">
      <c r="A15" s="51" t="s">
        <v>44</v>
      </c>
      <c r="B15" s="52">
        <v>0.53800000000000003</v>
      </c>
      <c r="C15" s="52">
        <v>0.35299999999999998</v>
      </c>
      <c r="D15" s="52">
        <v>0.64700000000000002</v>
      </c>
      <c r="E15" s="53"/>
      <c r="F15" s="54"/>
      <c r="G15" s="55"/>
      <c r="H15" s="52">
        <v>0.60399999999999998</v>
      </c>
      <c r="I15" s="52">
        <v>0.27300000000000002</v>
      </c>
      <c r="J15" s="52">
        <v>0.72699999999999998</v>
      </c>
      <c r="K15" s="56">
        <v>0.55800000000000005</v>
      </c>
      <c r="L15" s="56">
        <v>0.249</v>
      </c>
      <c r="M15" s="56">
        <v>0.751</v>
      </c>
      <c r="N15" s="52">
        <v>0.5326732673267327</v>
      </c>
      <c r="O15" s="52">
        <v>0.20817843866171004</v>
      </c>
      <c r="P15" s="52">
        <v>0.79182156133828996</v>
      </c>
      <c r="Q15" s="49">
        <v>0.5419847328244275</v>
      </c>
      <c r="R15" s="49">
        <v>0.20422535211267606</v>
      </c>
      <c r="S15" s="49">
        <v>0.79577464788732399</v>
      </c>
      <c r="T15" s="50">
        <v>0.53939999999999999</v>
      </c>
      <c r="U15" s="50">
        <v>0.2044</v>
      </c>
      <c r="V15" s="50">
        <v>0.79559999999999997</v>
      </c>
      <c r="W15" s="50">
        <v>0.56910000000000005</v>
      </c>
      <c r="X15" s="50">
        <v>0.2036</v>
      </c>
      <c r="Y15" s="50">
        <v>0.7964</v>
      </c>
    </row>
    <row r="16" spans="1:26" x14ac:dyDescent="0.25">
      <c r="A16" s="51" t="s">
        <v>108</v>
      </c>
      <c r="B16" s="52">
        <v>0</v>
      </c>
      <c r="C16" s="52" t="s">
        <v>71</v>
      </c>
      <c r="D16" s="52" t="s">
        <v>72</v>
      </c>
      <c r="E16" s="53"/>
      <c r="F16" s="54"/>
      <c r="G16" s="55"/>
      <c r="H16" s="52">
        <v>0</v>
      </c>
      <c r="I16" s="52" t="s">
        <v>72</v>
      </c>
      <c r="J16" s="52" t="s">
        <v>72</v>
      </c>
      <c r="K16" s="56">
        <v>0</v>
      </c>
      <c r="L16" s="56">
        <v>0</v>
      </c>
      <c r="M16" s="56">
        <v>0</v>
      </c>
      <c r="N16" s="52">
        <v>0</v>
      </c>
      <c r="O16" s="52"/>
      <c r="P16" s="52"/>
      <c r="Q16" s="56">
        <v>0</v>
      </c>
      <c r="R16" s="56">
        <v>0</v>
      </c>
      <c r="S16" s="56">
        <v>0</v>
      </c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50">
        <v>0</v>
      </c>
    </row>
    <row r="17" spans="1:25" x14ac:dyDescent="0.25">
      <c r="A17" s="62" t="s">
        <v>109</v>
      </c>
      <c r="B17" s="63"/>
      <c r="C17" s="63">
        <v>0.32169999999999999</v>
      </c>
      <c r="D17" s="63">
        <v>0.67830000000000001</v>
      </c>
      <c r="E17" s="64"/>
      <c r="F17" s="65">
        <v>0.29320000000000002</v>
      </c>
      <c r="G17" s="65">
        <v>0.70679999999999998</v>
      </c>
      <c r="H17" s="63"/>
      <c r="I17" s="63">
        <v>0.25740000000000002</v>
      </c>
      <c r="J17" s="63">
        <v>0.74260000000000004</v>
      </c>
      <c r="K17" s="66"/>
      <c r="L17" s="66">
        <v>0.2447</v>
      </c>
      <c r="M17" s="66">
        <v>0.75529999999999997</v>
      </c>
      <c r="N17" s="63"/>
      <c r="O17" s="63">
        <v>0.2198019801980198</v>
      </c>
      <c r="P17" s="63">
        <v>0.78019801980198022</v>
      </c>
      <c r="Q17" s="65"/>
      <c r="R17" s="65">
        <v>0.21560000000000001</v>
      </c>
      <c r="S17" s="65">
        <v>0.78439999999999999</v>
      </c>
      <c r="T17" s="67"/>
      <c r="U17" s="68">
        <v>0.21260000000000001</v>
      </c>
      <c r="V17" s="68">
        <v>0.78739999999999999</v>
      </c>
      <c r="W17" s="67"/>
      <c r="X17" s="68">
        <v>0.21260000000000001</v>
      </c>
      <c r="Y17" s="68">
        <v>0.78739999999999999</v>
      </c>
    </row>
    <row r="18" spans="1:25" x14ac:dyDescent="0.25">
      <c r="A18" s="69"/>
      <c r="B18" s="69"/>
      <c r="C18" s="70"/>
      <c r="D18" s="70"/>
      <c r="E18" s="69"/>
      <c r="F18" s="70"/>
      <c r="G18" s="70"/>
      <c r="H18" s="69"/>
      <c r="I18" s="70"/>
      <c r="J18" s="70"/>
      <c r="K18" s="69"/>
      <c r="L18" s="70"/>
      <c r="M18" s="70"/>
      <c r="N18" s="69"/>
      <c r="O18" s="70"/>
      <c r="P18" s="70"/>
      <c r="Q18" s="69"/>
      <c r="R18" s="69"/>
      <c r="S18" s="71"/>
      <c r="T18" s="69"/>
      <c r="U18" s="69"/>
      <c r="V18" s="69"/>
      <c r="W18" s="69"/>
      <c r="X18" s="69"/>
      <c r="Y18" s="69"/>
    </row>
    <row r="19" spans="1:25" x14ac:dyDescent="0.25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</row>
    <row r="20" spans="1:25" x14ac:dyDescent="0.25">
      <c r="A20" s="36"/>
      <c r="B20" s="72">
        <v>2007</v>
      </c>
      <c r="C20" s="72"/>
      <c r="D20" s="72"/>
      <c r="E20" s="37">
        <v>2008</v>
      </c>
      <c r="F20" s="37"/>
      <c r="G20" s="37"/>
      <c r="H20" s="72">
        <v>2009</v>
      </c>
      <c r="I20" s="72"/>
      <c r="J20" s="72"/>
      <c r="K20" s="37">
        <v>2010</v>
      </c>
      <c r="L20" s="37"/>
      <c r="M20" s="37"/>
      <c r="N20" s="72">
        <v>2011</v>
      </c>
      <c r="O20" s="72"/>
      <c r="P20" s="72"/>
      <c r="Q20" s="37">
        <v>2012</v>
      </c>
      <c r="R20" s="37"/>
      <c r="S20" s="37"/>
      <c r="T20" s="37">
        <v>2013</v>
      </c>
      <c r="U20" s="37"/>
      <c r="V20" s="37"/>
      <c r="W20" s="37">
        <v>2014</v>
      </c>
      <c r="X20" s="37"/>
      <c r="Y20" s="37"/>
    </row>
    <row r="21" spans="1:25" x14ac:dyDescent="0.25">
      <c r="A21" s="38"/>
      <c r="B21" s="72"/>
      <c r="C21" s="72"/>
      <c r="D21" s="72"/>
      <c r="E21" s="37"/>
      <c r="F21" s="37"/>
      <c r="G21" s="37"/>
      <c r="H21" s="72"/>
      <c r="I21" s="72"/>
      <c r="J21" s="72"/>
      <c r="K21" s="37"/>
      <c r="L21" s="37"/>
      <c r="M21" s="37"/>
      <c r="N21" s="72"/>
      <c r="O21" s="72"/>
      <c r="P21" s="72"/>
      <c r="Q21" s="37"/>
      <c r="R21" s="37"/>
      <c r="S21" s="37"/>
      <c r="T21" s="37"/>
      <c r="U21" s="37"/>
      <c r="V21" s="37"/>
      <c r="W21" s="37"/>
      <c r="X21" s="37"/>
      <c r="Y21" s="37"/>
    </row>
    <row r="22" spans="1:25" ht="30" x14ac:dyDescent="0.25">
      <c r="A22" s="39" t="s">
        <v>110</v>
      </c>
      <c r="B22" s="40" t="s">
        <v>102</v>
      </c>
      <c r="C22" s="40" t="s">
        <v>103</v>
      </c>
      <c r="D22" s="40" t="s">
        <v>104</v>
      </c>
      <c r="E22" s="41" t="s">
        <v>102</v>
      </c>
      <c r="F22" s="41" t="s">
        <v>103</v>
      </c>
      <c r="G22" s="41" t="s">
        <v>104</v>
      </c>
      <c r="H22" s="40" t="s">
        <v>102</v>
      </c>
      <c r="I22" s="40" t="s">
        <v>103</v>
      </c>
      <c r="J22" s="40" t="s">
        <v>104</v>
      </c>
      <c r="K22" s="41" t="s">
        <v>102</v>
      </c>
      <c r="L22" s="41" t="s">
        <v>103</v>
      </c>
      <c r="M22" s="41" t="s">
        <v>104</v>
      </c>
      <c r="N22" s="40" t="s">
        <v>102</v>
      </c>
      <c r="O22" s="40" t="s">
        <v>103</v>
      </c>
      <c r="P22" s="40" t="s">
        <v>104</v>
      </c>
      <c r="Q22" s="42" t="s">
        <v>102</v>
      </c>
      <c r="R22" s="42" t="s">
        <v>103</v>
      </c>
      <c r="S22" s="42" t="s">
        <v>104</v>
      </c>
      <c r="T22" s="40" t="s">
        <v>102</v>
      </c>
      <c r="U22" s="40" t="s">
        <v>103</v>
      </c>
      <c r="V22" s="40" t="s">
        <v>104</v>
      </c>
      <c r="W22" s="40" t="s">
        <v>102</v>
      </c>
      <c r="X22" s="40" t="s">
        <v>103</v>
      </c>
      <c r="Y22" s="40" t="s">
        <v>104</v>
      </c>
    </row>
    <row r="23" spans="1:25" x14ac:dyDescent="0.25">
      <c r="A23" s="73" t="s">
        <v>41</v>
      </c>
      <c r="B23" s="44">
        <v>0.17</v>
      </c>
      <c r="C23" s="44">
        <v>0.13500000000000001</v>
      </c>
      <c r="D23" s="44">
        <v>0.86499999999999999</v>
      </c>
      <c r="E23" s="48">
        <v>0.21839080459770116</v>
      </c>
      <c r="F23" s="48">
        <v>0.13157894736842105</v>
      </c>
      <c r="G23" s="48">
        <v>0.86842105263157898</v>
      </c>
      <c r="H23" s="44">
        <v>0.21739130434782608</v>
      </c>
      <c r="I23" s="44">
        <v>0.125</v>
      </c>
      <c r="J23" s="44">
        <v>0.875</v>
      </c>
      <c r="K23" s="48">
        <v>0.21578947368421053</v>
      </c>
      <c r="L23" s="48">
        <v>0.17073170731707318</v>
      </c>
      <c r="M23" s="48">
        <v>0.82926829268292679</v>
      </c>
      <c r="N23" s="44">
        <v>0.21120689655172414</v>
      </c>
      <c r="O23" s="44">
        <v>0.18367346938775511</v>
      </c>
      <c r="P23" s="44">
        <v>0.81632653061224492</v>
      </c>
      <c r="Q23" s="49">
        <v>0.21052631578947367</v>
      </c>
      <c r="R23" s="49">
        <v>0.17307692307692307</v>
      </c>
      <c r="S23" s="49">
        <v>0.82692307692307687</v>
      </c>
      <c r="T23" s="74">
        <v>0.20564516129032259</v>
      </c>
      <c r="U23" s="75">
        <v>0.17647058823529413</v>
      </c>
      <c r="V23" s="75">
        <v>0.82352941176470584</v>
      </c>
      <c r="W23" s="74">
        <v>0.20901639344262296</v>
      </c>
      <c r="X23" s="75">
        <v>0.19607843137254902</v>
      </c>
      <c r="Y23" s="75">
        <v>0.80392156862745101</v>
      </c>
    </row>
    <row r="24" spans="1:25" x14ac:dyDescent="0.25">
      <c r="A24" s="51" t="s">
        <v>27</v>
      </c>
      <c r="B24" s="44">
        <v>9.6000000000000002E-2</v>
      </c>
      <c r="C24" s="44">
        <v>0.28599999999999998</v>
      </c>
      <c r="D24" s="44">
        <v>0.71399999999999997</v>
      </c>
      <c r="E24" s="48">
        <v>6.8965517241379309E-2</v>
      </c>
      <c r="F24" s="48">
        <v>0.33333333333333331</v>
      </c>
      <c r="G24" s="48">
        <v>0.66666666666666663</v>
      </c>
      <c r="H24" s="44">
        <v>9.2391304347826081E-2</v>
      </c>
      <c r="I24" s="44">
        <v>0.35294117647058826</v>
      </c>
      <c r="J24" s="44">
        <v>0.6470588235294118</v>
      </c>
      <c r="K24" s="48">
        <v>0.11578947368421053</v>
      </c>
      <c r="L24" s="48">
        <v>0.36363636363636365</v>
      </c>
      <c r="M24" s="48">
        <v>0.63636363636363635</v>
      </c>
      <c r="N24" s="44">
        <v>0.14224137931034483</v>
      </c>
      <c r="O24" s="44">
        <v>0.36363636363636365</v>
      </c>
      <c r="P24" s="44">
        <v>0.63636363636363635</v>
      </c>
      <c r="Q24" s="49">
        <v>0.14979757085020243</v>
      </c>
      <c r="R24" s="49">
        <v>0.32432432432432434</v>
      </c>
      <c r="S24" s="49">
        <v>0.67567567567567566</v>
      </c>
      <c r="T24" s="74">
        <v>0.17338709677419356</v>
      </c>
      <c r="U24" s="76">
        <v>0.30232558139534882</v>
      </c>
      <c r="V24" s="76">
        <v>0.69767441860465118</v>
      </c>
      <c r="W24" s="74">
        <v>0.18442622950819673</v>
      </c>
      <c r="X24" s="76">
        <v>0.28888888888888886</v>
      </c>
      <c r="Y24" s="76">
        <v>0.71111111111111114</v>
      </c>
    </row>
    <row r="25" spans="1:25" x14ac:dyDescent="0.25">
      <c r="A25" s="57" t="s">
        <v>40</v>
      </c>
      <c r="B25" s="77">
        <v>9.1999999999999998E-2</v>
      </c>
      <c r="C25" s="77">
        <v>0.15</v>
      </c>
      <c r="D25" s="77">
        <v>0.85</v>
      </c>
      <c r="E25" s="78">
        <v>1.7241379310344827E-2</v>
      </c>
      <c r="F25" s="78">
        <v>0</v>
      </c>
      <c r="G25" s="78">
        <v>1</v>
      </c>
      <c r="H25" s="77">
        <v>1.6304347826086956E-2</v>
      </c>
      <c r="I25" s="77">
        <v>0</v>
      </c>
      <c r="J25" s="77">
        <v>1</v>
      </c>
      <c r="K25" s="78">
        <v>1.0526315789473684E-2</v>
      </c>
      <c r="L25" s="78">
        <v>0</v>
      </c>
      <c r="M25" s="78">
        <v>1</v>
      </c>
      <c r="N25" s="77">
        <v>9.0517241379310345E-2</v>
      </c>
      <c r="O25" s="77">
        <v>0.14285714285714285</v>
      </c>
      <c r="P25" s="77">
        <v>0.8571428571428571</v>
      </c>
      <c r="Q25" s="60">
        <v>0.10931174089068826</v>
      </c>
      <c r="R25" s="60">
        <v>0.18518518518518517</v>
      </c>
      <c r="S25" s="60">
        <v>0.81481481481481477</v>
      </c>
      <c r="T25" s="79">
        <v>0.11290322580645161</v>
      </c>
      <c r="U25" s="80">
        <v>0.17857142857142858</v>
      </c>
      <c r="V25" s="80">
        <v>0.8214285714285714</v>
      </c>
      <c r="W25" s="79">
        <v>0.13524590163934427</v>
      </c>
      <c r="X25" s="80">
        <v>0.24242424242424243</v>
      </c>
      <c r="Y25" s="80">
        <v>0.75757575757575757</v>
      </c>
    </row>
    <row r="26" spans="1:25" x14ac:dyDescent="0.25">
      <c r="A26" s="51" t="s">
        <v>107</v>
      </c>
      <c r="B26" s="44">
        <v>0.24299999999999999</v>
      </c>
      <c r="C26" s="44">
        <v>0.17</v>
      </c>
      <c r="D26" s="44">
        <v>0.83</v>
      </c>
      <c r="E26" s="48">
        <v>0.2413793103448276</v>
      </c>
      <c r="F26" s="48">
        <v>0.11904761904761904</v>
      </c>
      <c r="G26" s="48">
        <v>0.88095238095238093</v>
      </c>
      <c r="H26" s="44">
        <v>0.24456521739130435</v>
      </c>
      <c r="I26" s="44">
        <v>0.15555555555555556</v>
      </c>
      <c r="J26" s="44">
        <v>0.84444444444444444</v>
      </c>
      <c r="K26" s="48">
        <v>0.22631578947368422</v>
      </c>
      <c r="L26" s="48">
        <v>0.13953488372093023</v>
      </c>
      <c r="M26" s="48">
        <v>0.86046511627906974</v>
      </c>
      <c r="N26" s="44">
        <v>0.18534482758620691</v>
      </c>
      <c r="O26" s="44">
        <v>0.13953488372093023</v>
      </c>
      <c r="P26" s="44">
        <v>0.86046511627906974</v>
      </c>
      <c r="Q26" s="49">
        <v>0.19838056680161945</v>
      </c>
      <c r="R26" s="49">
        <v>0.12244897959183673</v>
      </c>
      <c r="S26" s="49">
        <v>0.87755102040816324</v>
      </c>
      <c r="T26" s="74">
        <v>0.18548387096774194</v>
      </c>
      <c r="U26" s="76">
        <v>0.10869565217391304</v>
      </c>
      <c r="V26" s="76">
        <v>0.89130434782608692</v>
      </c>
      <c r="W26" s="74">
        <v>0.15573770491803279</v>
      </c>
      <c r="X26" s="76">
        <v>7.8947368421052627E-2</v>
      </c>
      <c r="Y26" s="76">
        <v>0.92105263157894735</v>
      </c>
    </row>
    <row r="27" spans="1:25" x14ac:dyDescent="0.25">
      <c r="A27" s="51" t="s">
        <v>29</v>
      </c>
      <c r="B27" s="44">
        <v>9.1999999999999998E-2</v>
      </c>
      <c r="C27" s="44">
        <v>0.95</v>
      </c>
      <c r="D27" s="44">
        <v>0.05</v>
      </c>
      <c r="E27" s="48">
        <v>0.10344827586206896</v>
      </c>
      <c r="F27" s="48">
        <v>0.94444444444444442</v>
      </c>
      <c r="G27" s="48">
        <v>5.5555555555555552E-2</v>
      </c>
      <c r="H27" s="44">
        <v>9.7826086956521743E-2</v>
      </c>
      <c r="I27" s="44">
        <v>0.94444444444444442</v>
      </c>
      <c r="J27" s="44">
        <v>5.5555555555555552E-2</v>
      </c>
      <c r="K27" s="48">
        <v>0.10526315789473684</v>
      </c>
      <c r="L27" s="48">
        <v>0.95</v>
      </c>
      <c r="M27" s="48">
        <v>0.05</v>
      </c>
      <c r="N27" s="44">
        <v>9.9137931034482762E-2</v>
      </c>
      <c r="O27" s="44">
        <v>1</v>
      </c>
      <c r="P27" s="44">
        <v>0</v>
      </c>
      <c r="Q27" s="49">
        <v>7.6923076923076927E-2</v>
      </c>
      <c r="R27" s="49">
        <v>1</v>
      </c>
      <c r="S27" s="49">
        <v>0</v>
      </c>
      <c r="T27" s="74">
        <v>7.6612903225806453E-2</v>
      </c>
      <c r="U27" s="75">
        <v>1</v>
      </c>
      <c r="V27" s="75">
        <v>0</v>
      </c>
      <c r="W27" s="74">
        <v>5.737704918032787E-2</v>
      </c>
      <c r="X27" s="75">
        <v>1</v>
      </c>
      <c r="Y27" s="75">
        <v>0</v>
      </c>
    </row>
    <row r="28" spans="1:25" x14ac:dyDescent="0.25">
      <c r="A28" s="51" t="s">
        <v>30</v>
      </c>
      <c r="B28" s="44">
        <v>0.05</v>
      </c>
      <c r="C28" s="44">
        <v>0.81799999999999995</v>
      </c>
      <c r="D28" s="44">
        <v>0.182</v>
      </c>
      <c r="E28" s="48">
        <v>6.3218390804597707E-2</v>
      </c>
      <c r="F28" s="48">
        <v>0.90909090909090906</v>
      </c>
      <c r="G28" s="48">
        <v>9.0909090909090912E-2</v>
      </c>
      <c r="H28" s="44">
        <v>5.434782608695652E-2</v>
      </c>
      <c r="I28" s="44">
        <v>0.9</v>
      </c>
      <c r="J28" s="44">
        <v>0.1</v>
      </c>
      <c r="K28" s="48">
        <v>6.3157894736842107E-2</v>
      </c>
      <c r="L28" s="48">
        <v>0.83333333333333337</v>
      </c>
      <c r="M28" s="48">
        <v>0.16666666666666666</v>
      </c>
      <c r="N28" s="44">
        <v>5.6034482758620691E-2</v>
      </c>
      <c r="O28" s="44">
        <v>0.76923076923076927</v>
      </c>
      <c r="P28" s="44">
        <v>0.23076923076923078</v>
      </c>
      <c r="Q28" s="49">
        <v>5.6680161943319839E-2</v>
      </c>
      <c r="R28" s="49">
        <v>0.7857142857142857</v>
      </c>
      <c r="S28" s="49">
        <v>0.21428571428571427</v>
      </c>
      <c r="T28" s="74">
        <v>5.6451612903225805E-2</v>
      </c>
      <c r="U28" s="76">
        <v>0.7857142857142857</v>
      </c>
      <c r="V28" s="76">
        <v>0.21428571428571427</v>
      </c>
      <c r="W28" s="74">
        <v>4.9180327868852458E-2</v>
      </c>
      <c r="X28" s="76">
        <v>0.75</v>
      </c>
      <c r="Y28" s="76">
        <v>0.25</v>
      </c>
    </row>
    <row r="29" spans="1:25" x14ac:dyDescent="0.25">
      <c r="A29" s="51" t="s">
        <v>32</v>
      </c>
      <c r="B29" s="44">
        <v>0.151</v>
      </c>
      <c r="C29" s="44">
        <v>0</v>
      </c>
      <c r="D29" s="44">
        <v>1</v>
      </c>
      <c r="E29" s="48">
        <v>0.17241379310344829</v>
      </c>
      <c r="F29" s="48">
        <v>0</v>
      </c>
      <c r="G29" s="48">
        <v>1</v>
      </c>
      <c r="H29" s="44">
        <v>0.15760869565217392</v>
      </c>
      <c r="I29" s="44">
        <v>0</v>
      </c>
      <c r="J29" s="44">
        <v>1</v>
      </c>
      <c r="K29" s="48">
        <v>0.1736842105263158</v>
      </c>
      <c r="L29" s="48">
        <v>0</v>
      </c>
      <c r="M29" s="48">
        <v>1</v>
      </c>
      <c r="N29" s="44">
        <v>0.14655172413793102</v>
      </c>
      <c r="O29" s="44">
        <v>0</v>
      </c>
      <c r="P29" s="44">
        <v>1</v>
      </c>
      <c r="Q29" s="49">
        <v>0.13765182186234817</v>
      </c>
      <c r="R29" s="49">
        <v>0</v>
      </c>
      <c r="S29" s="49">
        <v>1</v>
      </c>
      <c r="T29" s="74">
        <v>0.13306451612903225</v>
      </c>
      <c r="U29" s="75">
        <v>0</v>
      </c>
      <c r="V29" s="75">
        <v>1</v>
      </c>
      <c r="W29" s="74">
        <v>0.13934426229508196</v>
      </c>
      <c r="X29" s="75">
        <v>0</v>
      </c>
      <c r="Y29" s="75">
        <v>1</v>
      </c>
    </row>
    <row r="30" spans="1:25" x14ac:dyDescent="0.25">
      <c r="A30" s="51" t="s">
        <v>44</v>
      </c>
      <c r="B30" s="44">
        <v>3.6999999999999998E-2</v>
      </c>
      <c r="C30" s="44">
        <v>0</v>
      </c>
      <c r="D30" s="44">
        <v>1</v>
      </c>
      <c r="E30" s="48">
        <v>4.0229885057471264E-2</v>
      </c>
      <c r="F30" s="48">
        <v>0</v>
      </c>
      <c r="G30" s="48">
        <v>1</v>
      </c>
      <c r="H30" s="44">
        <v>3.8043478260869568E-2</v>
      </c>
      <c r="I30" s="44">
        <v>0</v>
      </c>
      <c r="J30" s="44">
        <v>1</v>
      </c>
      <c r="K30" s="48">
        <v>2.6315789473684209E-2</v>
      </c>
      <c r="L30" s="48">
        <v>0</v>
      </c>
      <c r="M30" s="48">
        <v>1</v>
      </c>
      <c r="N30" s="44">
        <v>1.7241379310344827E-2</v>
      </c>
      <c r="O30" s="44">
        <v>0</v>
      </c>
      <c r="P30" s="44">
        <v>1</v>
      </c>
      <c r="Q30" s="49">
        <v>8.0971659919028341E-3</v>
      </c>
      <c r="R30" s="49">
        <v>0</v>
      </c>
      <c r="S30" s="49">
        <v>1</v>
      </c>
      <c r="T30" s="74">
        <v>8.0645161290322578E-3</v>
      </c>
      <c r="U30" s="76">
        <v>0</v>
      </c>
      <c r="V30" s="76">
        <v>1</v>
      </c>
      <c r="W30" s="74">
        <v>8.1967213114754103E-3</v>
      </c>
      <c r="X30" s="76">
        <v>0</v>
      </c>
      <c r="Y30" s="76">
        <v>1</v>
      </c>
    </row>
    <row r="31" spans="1:25" x14ac:dyDescent="0.25">
      <c r="A31" s="51" t="s">
        <v>108</v>
      </c>
      <c r="B31" s="44">
        <v>6.9000000000000006E-2</v>
      </c>
      <c r="C31" s="44">
        <v>0.66700000000000004</v>
      </c>
      <c r="D31" s="44">
        <v>0.33300000000000002</v>
      </c>
      <c r="E31" s="48">
        <v>7.4712643678160925E-2</v>
      </c>
      <c r="F31" s="48">
        <v>0.61538461538461542</v>
      </c>
      <c r="G31" s="48">
        <v>0.38461538461538464</v>
      </c>
      <c r="H31" s="44">
        <v>8.1521739130434784E-2</v>
      </c>
      <c r="I31" s="44">
        <v>0.66666666666666663</v>
      </c>
      <c r="J31" s="44">
        <v>0.33333333333333331</v>
      </c>
      <c r="K31" s="48">
        <v>6.3157894736842107E-2</v>
      </c>
      <c r="L31" s="48">
        <v>0.66666666666666663</v>
      </c>
      <c r="M31" s="48">
        <v>0.33333333333333331</v>
      </c>
      <c r="N31" s="44">
        <v>5.1724137931034482E-2</v>
      </c>
      <c r="O31" s="44">
        <v>0.66666666666666663</v>
      </c>
      <c r="P31" s="44">
        <v>0.33333333333333331</v>
      </c>
      <c r="Q31" s="48">
        <v>5.2631578947368418E-2</v>
      </c>
      <c r="R31" s="48">
        <v>0.61538461538461542</v>
      </c>
      <c r="S31" s="48">
        <v>0.38461538461538464</v>
      </c>
      <c r="T31" s="74">
        <v>4.8387096774193547E-2</v>
      </c>
      <c r="U31" s="75">
        <v>0.66666666666666663</v>
      </c>
      <c r="V31" s="75">
        <v>0.33333333333333331</v>
      </c>
      <c r="W31" s="74">
        <v>6.1475409836065573E-2</v>
      </c>
      <c r="X31" s="75">
        <v>0.73333333333333328</v>
      </c>
      <c r="Y31" s="75">
        <v>0.26666666666666666</v>
      </c>
    </row>
    <row r="32" spans="1:25" x14ac:dyDescent="0.25">
      <c r="A32" s="62" t="s">
        <v>109</v>
      </c>
      <c r="B32" s="81"/>
      <c r="C32" s="81">
        <v>0.28899999999999998</v>
      </c>
      <c r="D32" s="81">
        <v>0.71099999999999997</v>
      </c>
      <c r="E32" s="82"/>
      <c r="F32" s="82">
        <v>0.28160919540229884</v>
      </c>
      <c r="G32" s="82">
        <v>0.7183908045977011</v>
      </c>
      <c r="H32" s="81"/>
      <c r="I32" s="81">
        <v>0.29347826086956524</v>
      </c>
      <c r="J32" s="81">
        <v>0.70652173913043481</v>
      </c>
      <c r="K32" s="82"/>
      <c r="L32" s="82">
        <v>0.30526315789473685</v>
      </c>
      <c r="M32" s="82">
        <v>0.69473684210526321</v>
      </c>
      <c r="N32" s="81"/>
      <c r="O32" s="81">
        <v>0.30603448275862066</v>
      </c>
      <c r="P32" s="81">
        <v>0.69396551724137934</v>
      </c>
      <c r="Q32" s="82"/>
      <c r="R32" s="82">
        <v>0.2834008097165992</v>
      </c>
      <c r="S32" s="82">
        <v>0.7165991902834008</v>
      </c>
      <c r="T32" s="44"/>
      <c r="U32" s="83">
        <v>0.28225806451612906</v>
      </c>
      <c r="V32" s="83">
        <v>0.717741935483871</v>
      </c>
      <c r="W32" s="44"/>
      <c r="X32" s="83">
        <v>0.27868852459016391</v>
      </c>
      <c r="Y32" s="83">
        <v>0.72131147540983609</v>
      </c>
    </row>
    <row r="33" spans="1:25" x14ac:dyDescent="0.25">
      <c r="A33" s="69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71"/>
      <c r="T33" s="69"/>
      <c r="U33" s="69"/>
      <c r="V33" s="69"/>
      <c r="W33" s="69"/>
      <c r="X33" s="69"/>
      <c r="Y33" s="69"/>
    </row>
    <row r="34" spans="1:25" x14ac:dyDescent="0.25">
      <c r="A34" s="69"/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71"/>
      <c r="T34" s="69"/>
      <c r="U34" s="69"/>
      <c r="V34" s="69"/>
      <c r="W34" s="69"/>
      <c r="X34" s="69"/>
      <c r="Y34" s="69"/>
    </row>
    <row r="35" spans="1:25" ht="15" customHeight="1" x14ac:dyDescent="0.25">
      <c r="A35" s="36"/>
      <c r="B35" s="37">
        <v>2007</v>
      </c>
      <c r="C35" s="37"/>
      <c r="D35" s="37"/>
      <c r="E35" s="37">
        <v>2008</v>
      </c>
      <c r="F35" s="37"/>
      <c r="G35" s="37"/>
      <c r="H35" s="37">
        <v>2009</v>
      </c>
      <c r="I35" s="37"/>
      <c r="J35" s="37"/>
      <c r="K35" s="37">
        <v>2010</v>
      </c>
      <c r="L35" s="37"/>
      <c r="M35" s="37"/>
      <c r="N35" s="37">
        <v>2011</v>
      </c>
      <c r="O35" s="37"/>
      <c r="P35" s="37"/>
      <c r="Q35" s="37">
        <v>2012</v>
      </c>
      <c r="R35" s="37"/>
      <c r="S35" s="37"/>
      <c r="T35" s="87">
        <v>2013</v>
      </c>
      <c r="U35" s="88"/>
      <c r="V35" s="89"/>
      <c r="W35" s="37">
        <v>2014</v>
      </c>
      <c r="X35" s="37"/>
      <c r="Y35" s="37"/>
    </row>
    <row r="36" spans="1:25" ht="15" customHeight="1" x14ac:dyDescent="0.25">
      <c r="A36" s="38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90"/>
      <c r="U36" s="91"/>
      <c r="V36" s="92"/>
      <c r="W36" s="37"/>
      <c r="X36" s="37"/>
      <c r="Y36" s="37"/>
    </row>
    <row r="37" spans="1:25" ht="30" x14ac:dyDescent="0.25">
      <c r="A37" s="39" t="s">
        <v>111</v>
      </c>
      <c r="B37" s="40" t="s">
        <v>102</v>
      </c>
      <c r="C37" s="40" t="s">
        <v>103</v>
      </c>
      <c r="D37" s="40" t="s">
        <v>104</v>
      </c>
      <c r="E37" s="41" t="s">
        <v>112</v>
      </c>
      <c r="F37" s="41" t="s">
        <v>113</v>
      </c>
      <c r="G37" s="41" t="s">
        <v>114</v>
      </c>
      <c r="H37" s="40" t="s">
        <v>115</v>
      </c>
      <c r="I37" s="40" t="s">
        <v>113</v>
      </c>
      <c r="J37" s="40" t="s">
        <v>114</v>
      </c>
      <c r="K37" s="41" t="s">
        <v>112</v>
      </c>
      <c r="L37" s="41" t="s">
        <v>113</v>
      </c>
      <c r="M37" s="41" t="s">
        <v>114</v>
      </c>
      <c r="N37" s="40" t="s">
        <v>102</v>
      </c>
      <c r="O37" s="40" t="s">
        <v>113</v>
      </c>
      <c r="P37" s="40" t="s">
        <v>114</v>
      </c>
      <c r="Q37" s="42" t="s">
        <v>102</v>
      </c>
      <c r="R37" s="42" t="s">
        <v>103</v>
      </c>
      <c r="S37" s="42" t="s">
        <v>104</v>
      </c>
      <c r="T37" s="40" t="s">
        <v>102</v>
      </c>
      <c r="U37" s="40" t="s">
        <v>103</v>
      </c>
      <c r="V37" s="40" t="s">
        <v>104</v>
      </c>
      <c r="W37" s="40" t="s">
        <v>102</v>
      </c>
      <c r="X37" s="40" t="s">
        <v>103</v>
      </c>
      <c r="Y37" s="40" t="s">
        <v>104</v>
      </c>
    </row>
    <row r="38" spans="1:25" x14ac:dyDescent="0.25">
      <c r="A38" s="51" t="s">
        <v>41</v>
      </c>
      <c r="B38" s="44">
        <v>9.2173913043478259E-2</v>
      </c>
      <c r="C38" s="44">
        <v>0.29559748427672955</v>
      </c>
      <c r="D38" s="44">
        <v>0.70440251572327039</v>
      </c>
      <c r="E38" s="84">
        <v>9.499136442141623E-2</v>
      </c>
      <c r="F38" s="84">
        <v>0.32727272727272727</v>
      </c>
      <c r="G38" s="48">
        <v>0.67272727272727273</v>
      </c>
      <c r="H38" s="44">
        <v>9.9508599508599513E-2</v>
      </c>
      <c r="I38" s="44">
        <v>0.33333333333333331</v>
      </c>
      <c r="J38" s="44">
        <v>0.66666666666666663</v>
      </c>
      <c r="K38" s="84">
        <v>8.6876155268022184E-2</v>
      </c>
      <c r="L38" s="84">
        <v>0.34042553191489361</v>
      </c>
      <c r="M38" s="48">
        <v>0.65957446808510634</v>
      </c>
      <c r="N38" s="44">
        <v>8.8957055214723926E-2</v>
      </c>
      <c r="O38" s="44">
        <v>0.37931034482758619</v>
      </c>
      <c r="P38" s="44">
        <v>0.62068965517241381</v>
      </c>
      <c r="Q38" s="84">
        <v>0.10042347247428918</v>
      </c>
      <c r="R38" s="84">
        <v>0.38554216867469882</v>
      </c>
      <c r="S38" s="48">
        <v>0.62048192771084343</v>
      </c>
      <c r="T38" s="44">
        <v>0.10708016383850205</v>
      </c>
      <c r="U38" s="44">
        <v>0.37158469945355194</v>
      </c>
      <c r="V38" s="44">
        <v>0.63387978142076506</v>
      </c>
      <c r="W38" s="44">
        <v>9.5100864553314124E-2</v>
      </c>
      <c r="X38" s="44">
        <v>0.36363636363636365</v>
      </c>
      <c r="Y38" s="44">
        <v>0.63636363636363635</v>
      </c>
    </row>
    <row r="39" spans="1:25" x14ac:dyDescent="0.25">
      <c r="A39" s="51" t="s">
        <v>27</v>
      </c>
      <c r="B39" s="44">
        <v>0.1698550724637681</v>
      </c>
      <c r="C39" s="44">
        <v>0.50511945392491464</v>
      </c>
      <c r="D39" s="44">
        <v>0.4948805460750853</v>
      </c>
      <c r="E39" s="84">
        <v>0.1940126655152562</v>
      </c>
      <c r="F39" s="84">
        <v>0.51335311572700293</v>
      </c>
      <c r="G39" s="48">
        <v>0.48664688427299702</v>
      </c>
      <c r="H39" s="44">
        <v>0.20147420147420148</v>
      </c>
      <c r="I39" s="44">
        <v>0.55182926829268297</v>
      </c>
      <c r="J39" s="44">
        <v>0.44817073170731708</v>
      </c>
      <c r="K39" s="84">
        <v>0.20332717190388169</v>
      </c>
      <c r="L39" s="84">
        <v>0.6</v>
      </c>
      <c r="M39" s="48">
        <v>0.4</v>
      </c>
      <c r="N39" s="44">
        <v>0.20674846625766871</v>
      </c>
      <c r="O39" s="44">
        <v>0.59050445103857563</v>
      </c>
      <c r="P39" s="44">
        <v>0.40949554896142432</v>
      </c>
      <c r="Q39" s="84">
        <v>0.21113127646702964</v>
      </c>
      <c r="R39" s="84">
        <v>0.60171919770773641</v>
      </c>
      <c r="S39" s="48">
        <v>0.39828080229226359</v>
      </c>
      <c r="T39" s="44">
        <v>0.20304271503803395</v>
      </c>
      <c r="U39" s="44">
        <v>0.59365994236311237</v>
      </c>
      <c r="V39" s="44">
        <v>0.40634005763688763</v>
      </c>
      <c r="W39" s="44">
        <v>0.20979827089337175</v>
      </c>
      <c r="X39" s="44">
        <v>0.59065934065934067</v>
      </c>
      <c r="Y39" s="44">
        <v>0.40934065934065933</v>
      </c>
    </row>
    <row r="40" spans="1:25" x14ac:dyDescent="0.25">
      <c r="A40" s="51" t="s">
        <v>28</v>
      </c>
      <c r="B40" s="44">
        <v>0.15768115942028985</v>
      </c>
      <c r="C40" s="44">
        <v>0.61029411764705888</v>
      </c>
      <c r="D40" s="44">
        <v>0.38970588235294118</v>
      </c>
      <c r="E40" s="84">
        <v>0.16350028785261947</v>
      </c>
      <c r="F40" s="84">
        <v>0.62323943661971826</v>
      </c>
      <c r="G40" s="48">
        <v>0.37676056338028169</v>
      </c>
      <c r="H40" s="44">
        <v>0.171990171990172</v>
      </c>
      <c r="I40" s="44">
        <v>0.61071428571428577</v>
      </c>
      <c r="J40" s="44">
        <v>0.38571428571428573</v>
      </c>
      <c r="K40" s="84">
        <v>0.17498459642637093</v>
      </c>
      <c r="L40" s="84">
        <v>0.57042253521126762</v>
      </c>
      <c r="M40" s="48">
        <v>0.426056338028169</v>
      </c>
      <c r="N40" s="44">
        <v>0.15582822085889569</v>
      </c>
      <c r="O40" s="44">
        <v>0.55905511811023623</v>
      </c>
      <c r="P40" s="44">
        <v>0.44094488188976377</v>
      </c>
      <c r="Q40" s="84">
        <v>0.15245009074410162</v>
      </c>
      <c r="R40" s="84">
        <v>0.53968253968253965</v>
      </c>
      <c r="S40" s="48">
        <v>0.46031746031746029</v>
      </c>
      <c r="T40" s="44">
        <v>0.15096547688706846</v>
      </c>
      <c r="U40" s="44">
        <v>0.54651162790697672</v>
      </c>
      <c r="V40" s="44">
        <v>0.4573643410852713</v>
      </c>
      <c r="W40" s="44">
        <v>0.14466858789625361</v>
      </c>
      <c r="X40" s="44">
        <v>0.56175298804780871</v>
      </c>
      <c r="Y40" s="44">
        <v>0.43824701195219123</v>
      </c>
    </row>
    <row r="41" spans="1:25" x14ac:dyDescent="0.25">
      <c r="A41" s="51" t="s">
        <v>29</v>
      </c>
      <c r="B41" s="44">
        <v>6.6086956521739126E-2</v>
      </c>
      <c r="C41" s="44">
        <v>0.85087719298245612</v>
      </c>
      <c r="D41" s="44">
        <v>0.14912280701754385</v>
      </c>
      <c r="E41" s="84">
        <v>5.8146229130685088E-2</v>
      </c>
      <c r="F41" s="84">
        <v>0.79207920792079212</v>
      </c>
      <c r="G41" s="48">
        <v>0.20792079207920791</v>
      </c>
      <c r="H41" s="44">
        <v>5.5896805896805894E-2</v>
      </c>
      <c r="I41" s="44">
        <v>0.81318681318681318</v>
      </c>
      <c r="J41" s="44">
        <v>0.17582417582417584</v>
      </c>
      <c r="K41" s="84">
        <v>5.1756007393715345E-2</v>
      </c>
      <c r="L41" s="84">
        <v>0.80952380952380953</v>
      </c>
      <c r="M41" s="48">
        <v>0.19047619047619047</v>
      </c>
      <c r="N41" s="44">
        <v>4.7239263803680979E-2</v>
      </c>
      <c r="O41" s="44">
        <v>0.79220779220779225</v>
      </c>
      <c r="P41" s="44">
        <v>0.20779220779220781</v>
      </c>
      <c r="Q41" s="84">
        <v>4.4162129461584994E-2</v>
      </c>
      <c r="R41" s="84">
        <v>0.79452054794520544</v>
      </c>
      <c r="S41" s="48">
        <v>0.21917808219178081</v>
      </c>
      <c r="T41" s="44">
        <v>3.8619075482738442E-2</v>
      </c>
      <c r="U41" s="44">
        <v>0.81818181818181823</v>
      </c>
      <c r="V41" s="44">
        <v>0.18181818181818182</v>
      </c>
      <c r="W41" s="44">
        <v>3.9193083573487032E-2</v>
      </c>
      <c r="X41" s="44">
        <v>0.82352941176470584</v>
      </c>
      <c r="Y41" s="44">
        <v>0.17647058823529413</v>
      </c>
    </row>
    <row r="42" spans="1:25" x14ac:dyDescent="0.25">
      <c r="A42" s="51" t="s">
        <v>30</v>
      </c>
      <c r="B42" s="44">
        <v>0.20695652173913043</v>
      </c>
      <c r="C42" s="44">
        <v>0.62184873949579833</v>
      </c>
      <c r="D42" s="44">
        <v>0.37815126050420167</v>
      </c>
      <c r="E42" s="84">
        <v>0.19631548647092689</v>
      </c>
      <c r="F42" s="84">
        <v>0.60703812316715544</v>
      </c>
      <c r="G42" s="48">
        <v>0.39296187683284456</v>
      </c>
      <c r="H42" s="44">
        <v>0.1941031941031941</v>
      </c>
      <c r="I42" s="44">
        <v>0.60443037974683544</v>
      </c>
      <c r="J42" s="44">
        <v>0.39873417721518989</v>
      </c>
      <c r="K42" s="84">
        <v>0.20579174368453482</v>
      </c>
      <c r="L42" s="84">
        <v>0.61676646706586824</v>
      </c>
      <c r="M42" s="48">
        <v>0.38323353293413176</v>
      </c>
      <c r="N42" s="44">
        <v>0.22024539877300614</v>
      </c>
      <c r="O42" s="44">
        <v>0.64345403899721454</v>
      </c>
      <c r="P42" s="44">
        <v>0.35654596100278552</v>
      </c>
      <c r="Q42" s="84">
        <v>0.21476104053236539</v>
      </c>
      <c r="R42" s="84">
        <v>0.63380281690140849</v>
      </c>
      <c r="S42" s="48">
        <v>0.36901408450704226</v>
      </c>
      <c r="T42" s="44">
        <v>0.22527794031597426</v>
      </c>
      <c r="U42" s="44">
        <v>0.62337662337662336</v>
      </c>
      <c r="V42" s="44">
        <v>0.37662337662337664</v>
      </c>
      <c r="W42" s="44">
        <v>0.22939481268011527</v>
      </c>
      <c r="X42" s="44">
        <v>0.59547738693467334</v>
      </c>
      <c r="Y42" s="44">
        <v>0.40452261306532661</v>
      </c>
    </row>
    <row r="43" spans="1:25" x14ac:dyDescent="0.25">
      <c r="A43" s="57" t="s">
        <v>31</v>
      </c>
      <c r="B43" s="77">
        <v>4.2318840579710144E-2</v>
      </c>
      <c r="C43" s="77">
        <v>0.19178082191780821</v>
      </c>
      <c r="D43" s="77">
        <v>0.80821917808219179</v>
      </c>
      <c r="E43" s="85">
        <v>3.8572251007484168E-2</v>
      </c>
      <c r="F43" s="85">
        <v>0.20895522388059701</v>
      </c>
      <c r="G43" s="78">
        <v>0.80597014925373134</v>
      </c>
      <c r="H43" s="77">
        <v>4.0540540540540543E-2</v>
      </c>
      <c r="I43" s="77">
        <v>0.18181818181818182</v>
      </c>
      <c r="J43" s="77">
        <v>0.81818181818181823</v>
      </c>
      <c r="K43" s="85">
        <v>4.6210720887245843E-2</v>
      </c>
      <c r="L43" s="85">
        <v>0.2</v>
      </c>
      <c r="M43" s="78">
        <v>0.8</v>
      </c>
      <c r="N43" s="77">
        <v>4.9079754601226995E-2</v>
      </c>
      <c r="O43" s="77">
        <v>0.13750000000000001</v>
      </c>
      <c r="P43" s="77">
        <v>0.875</v>
      </c>
      <c r="Q43" s="85">
        <v>4.4767090139140958E-2</v>
      </c>
      <c r="R43" s="85">
        <v>0.16216216216216217</v>
      </c>
      <c r="S43" s="78">
        <v>0.83783783783783783</v>
      </c>
      <c r="T43" s="77">
        <v>3.920421299005266E-2</v>
      </c>
      <c r="U43" s="77">
        <v>0.23880597014925373</v>
      </c>
      <c r="V43" s="77">
        <v>0.76119402985074625</v>
      </c>
      <c r="W43" s="77">
        <v>4.0345821325648415E-2</v>
      </c>
      <c r="X43" s="77">
        <v>0.21428571428571427</v>
      </c>
      <c r="Y43" s="77">
        <v>0.7857142857142857</v>
      </c>
    </row>
    <row r="44" spans="1:25" x14ac:dyDescent="0.25">
      <c r="A44" s="51" t="s">
        <v>32</v>
      </c>
      <c r="B44" s="44">
        <v>0.12347826086956522</v>
      </c>
      <c r="C44" s="44">
        <v>0.10328638497652583</v>
      </c>
      <c r="D44" s="44">
        <v>0.90140845070422537</v>
      </c>
      <c r="E44" s="84">
        <v>0.12492803684513529</v>
      </c>
      <c r="F44" s="84">
        <v>8.294930875576037E-2</v>
      </c>
      <c r="G44" s="48">
        <v>0.91705069124423966</v>
      </c>
      <c r="H44" s="44">
        <v>0.1160933660933661</v>
      </c>
      <c r="I44" s="44">
        <v>0.10052910052910052</v>
      </c>
      <c r="J44" s="44">
        <v>0.89947089947089942</v>
      </c>
      <c r="K44" s="84">
        <v>0.12199630314232902</v>
      </c>
      <c r="L44" s="84">
        <v>9.5959595959595953E-2</v>
      </c>
      <c r="M44" s="48">
        <v>0.90909090909090906</v>
      </c>
      <c r="N44" s="44">
        <v>0.12392638036809817</v>
      </c>
      <c r="O44" s="44">
        <v>0.11386138613861387</v>
      </c>
      <c r="P44" s="44">
        <v>0.88613861386138615</v>
      </c>
      <c r="Q44" s="84">
        <v>0.1161524500907441</v>
      </c>
      <c r="R44" s="84">
        <v>0.13541666666666666</v>
      </c>
      <c r="S44" s="48">
        <v>0.86458333333333337</v>
      </c>
      <c r="T44" s="44">
        <v>0.11761263897015799</v>
      </c>
      <c r="U44" s="44">
        <v>0.13930348258706468</v>
      </c>
      <c r="V44" s="44">
        <v>0.86069651741293529</v>
      </c>
      <c r="W44" s="44">
        <v>0.11527377521613832</v>
      </c>
      <c r="X44" s="44">
        <v>0.115</v>
      </c>
      <c r="Y44" s="44">
        <v>0.88</v>
      </c>
    </row>
    <row r="45" spans="1:25" x14ac:dyDescent="0.25">
      <c r="A45" s="51" t="s">
        <v>44</v>
      </c>
      <c r="B45" s="44">
        <v>5.5072463768115941E-2</v>
      </c>
      <c r="C45" s="44">
        <v>6.3157894736842107E-2</v>
      </c>
      <c r="D45" s="44">
        <v>0.94736842105263153</v>
      </c>
      <c r="E45" s="84">
        <v>5.3540587219343697E-2</v>
      </c>
      <c r="F45" s="84">
        <v>7.5268817204301078E-2</v>
      </c>
      <c r="G45" s="48">
        <v>0.92473118279569888</v>
      </c>
      <c r="H45" s="44">
        <v>5.2211302211302213E-2</v>
      </c>
      <c r="I45" s="44">
        <v>0.10588235294117647</v>
      </c>
      <c r="J45" s="44">
        <v>0.88235294117647056</v>
      </c>
      <c r="K45" s="84">
        <v>4.6826863832409117E-2</v>
      </c>
      <c r="L45" s="84">
        <v>0.10526315789473684</v>
      </c>
      <c r="M45" s="48">
        <v>0.89473684210526316</v>
      </c>
      <c r="N45" s="44">
        <v>4.9079754601226995E-2</v>
      </c>
      <c r="O45" s="44">
        <v>0.13750000000000001</v>
      </c>
      <c r="P45" s="44">
        <v>0.86250000000000004</v>
      </c>
      <c r="Q45" s="84">
        <v>4.7186932849364795E-2</v>
      </c>
      <c r="R45" s="84">
        <v>0.10256410256410256</v>
      </c>
      <c r="S45" s="48">
        <v>0.89743589743589747</v>
      </c>
      <c r="T45" s="44">
        <v>4.8566413107080167E-2</v>
      </c>
      <c r="U45" s="44">
        <v>0.12048192771084337</v>
      </c>
      <c r="V45" s="44">
        <v>0.87951807228915657</v>
      </c>
      <c r="W45" s="44">
        <v>4.7838616714697406E-2</v>
      </c>
      <c r="X45" s="44">
        <v>0.10843373493975904</v>
      </c>
      <c r="Y45" s="44">
        <v>0.89156626506024095</v>
      </c>
    </row>
    <row r="46" spans="1:25" x14ac:dyDescent="0.25">
      <c r="A46" s="51" t="s">
        <v>45</v>
      </c>
      <c r="B46" s="44">
        <v>8.5217391304347828E-2</v>
      </c>
      <c r="C46" s="44">
        <v>0.41496598639455784</v>
      </c>
      <c r="D46" s="44">
        <v>0.59183673469387754</v>
      </c>
      <c r="E46" s="84">
        <v>7.599309153713299E-2</v>
      </c>
      <c r="F46" s="84">
        <v>0.45454545454545453</v>
      </c>
      <c r="G46" s="48">
        <v>0.54545454545454541</v>
      </c>
      <c r="H46" s="44">
        <v>6.8181818181818177E-2</v>
      </c>
      <c r="I46" s="44">
        <v>0.52252252252252251</v>
      </c>
      <c r="J46" s="44">
        <v>0.47747747747747749</v>
      </c>
      <c r="K46" s="84">
        <v>6.2230437461491067E-2</v>
      </c>
      <c r="L46" s="84">
        <v>0.49504950495049505</v>
      </c>
      <c r="M46" s="48">
        <v>0.51485148514851486</v>
      </c>
      <c r="N46" s="44">
        <v>5.9509202453987733E-2</v>
      </c>
      <c r="O46" s="44">
        <v>0.46391752577319589</v>
      </c>
      <c r="P46" s="44">
        <v>0.53608247422680411</v>
      </c>
      <c r="Q46" s="84">
        <v>6.8360556563823352E-2</v>
      </c>
      <c r="R46" s="84">
        <v>0.46902654867256638</v>
      </c>
      <c r="S46" s="48">
        <v>0.53097345132743368</v>
      </c>
      <c r="T46" s="44">
        <v>6.9631363370392038E-2</v>
      </c>
      <c r="U46" s="44">
        <v>0.46218487394957986</v>
      </c>
      <c r="V46" s="44">
        <v>0.53781512605042014</v>
      </c>
      <c r="W46" s="44">
        <v>7.8386167146974065E-2</v>
      </c>
      <c r="X46" s="44">
        <v>0.47794117647058826</v>
      </c>
      <c r="Y46" s="44">
        <v>0.5220588235294118</v>
      </c>
    </row>
    <row r="47" spans="1:25" x14ac:dyDescent="0.25">
      <c r="A47" s="62" t="s">
        <v>109</v>
      </c>
      <c r="B47" s="86"/>
      <c r="C47" s="81">
        <v>0.45275362318840578</v>
      </c>
      <c r="D47" s="81">
        <v>0.54666666666666663</v>
      </c>
      <c r="E47" s="82"/>
      <c r="F47" s="82">
        <v>0.45480713874496259</v>
      </c>
      <c r="G47" s="82">
        <v>0.54519286125503741</v>
      </c>
      <c r="H47" s="86"/>
      <c r="I47" s="81">
        <v>0.47297297297297297</v>
      </c>
      <c r="J47" s="81">
        <v>0.52702702702702697</v>
      </c>
      <c r="K47" s="82"/>
      <c r="L47" s="82">
        <v>0.47566235366605053</v>
      </c>
      <c r="M47" s="82">
        <v>0.5237215033887862</v>
      </c>
      <c r="N47" s="86"/>
      <c r="O47" s="81">
        <v>0.4766871165644172</v>
      </c>
      <c r="P47" s="81">
        <v>0.52392638036809813</v>
      </c>
      <c r="Q47" s="82"/>
      <c r="R47" s="82">
        <v>0.47852389594676348</v>
      </c>
      <c r="S47" s="82">
        <v>0.52147610405323652</v>
      </c>
      <c r="T47" s="86"/>
      <c r="U47" s="81">
        <v>0.47805734347571677</v>
      </c>
      <c r="V47" s="81">
        <v>0.52194265652428318</v>
      </c>
      <c r="W47" s="86"/>
      <c r="X47" s="81">
        <v>0.47377521613832851</v>
      </c>
      <c r="Y47" s="81">
        <v>0.52622478386167149</v>
      </c>
    </row>
    <row r="50" ht="15" customHeight="1" x14ac:dyDescent="0.25"/>
    <row r="51" ht="15" customHeight="1" x14ac:dyDescent="0.25"/>
    <row r="63" ht="15" customHeight="1" x14ac:dyDescent="0.25"/>
    <row r="64" ht="15" customHeight="1" x14ac:dyDescent="0.25"/>
    <row r="65" spans="1:22" ht="15" customHeight="1" x14ac:dyDescent="0.25"/>
    <row r="68" spans="1:22" x14ac:dyDescent="0.25">
      <c r="A68" s="36"/>
      <c r="B68" s="37">
        <v>2015</v>
      </c>
      <c r="C68" s="37"/>
      <c r="D68" s="37"/>
      <c r="E68" s="37">
        <v>2016</v>
      </c>
      <c r="F68" s="37"/>
      <c r="G68" s="37"/>
      <c r="H68" s="37">
        <v>2017</v>
      </c>
      <c r="I68" s="37"/>
      <c r="J68" s="37"/>
      <c r="K68" s="37">
        <v>2018</v>
      </c>
      <c r="L68" s="37"/>
      <c r="M68" s="37"/>
      <c r="N68" s="93">
        <v>2019</v>
      </c>
      <c r="O68" s="93"/>
      <c r="P68" s="93"/>
      <c r="Q68" s="37">
        <v>2020</v>
      </c>
      <c r="R68" s="37"/>
      <c r="S68" s="37"/>
      <c r="T68" s="93">
        <v>2021</v>
      </c>
      <c r="U68" s="93"/>
      <c r="V68" s="93"/>
    </row>
    <row r="69" spans="1:22" x14ac:dyDescent="0.25">
      <c r="A69" s="38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93"/>
      <c r="O69" s="93"/>
      <c r="P69" s="93"/>
      <c r="Q69" s="37"/>
      <c r="R69" s="37"/>
      <c r="S69" s="37"/>
      <c r="T69" s="93"/>
      <c r="U69" s="93"/>
      <c r="V69" s="93"/>
    </row>
    <row r="70" spans="1:22" ht="30" x14ac:dyDescent="0.25">
      <c r="A70" s="39" t="s">
        <v>101</v>
      </c>
      <c r="B70" s="42" t="s">
        <v>102</v>
      </c>
      <c r="C70" s="42" t="s">
        <v>103</v>
      </c>
      <c r="D70" s="42" t="s">
        <v>104</v>
      </c>
      <c r="E70" s="40" t="s">
        <v>102</v>
      </c>
      <c r="F70" s="40" t="s">
        <v>103</v>
      </c>
      <c r="G70" s="40" t="s">
        <v>104</v>
      </c>
      <c r="H70" s="42" t="s">
        <v>102</v>
      </c>
      <c r="I70" s="42" t="s">
        <v>103</v>
      </c>
      <c r="J70" s="42" t="s">
        <v>104</v>
      </c>
      <c r="K70" s="94" t="s">
        <v>102</v>
      </c>
      <c r="L70" s="94" t="s">
        <v>103</v>
      </c>
      <c r="M70" s="94" t="s">
        <v>104</v>
      </c>
      <c r="N70" s="42" t="s">
        <v>102</v>
      </c>
      <c r="O70" s="42" t="s">
        <v>103</v>
      </c>
      <c r="P70" s="42" t="s">
        <v>104</v>
      </c>
      <c r="Q70" s="94" t="s">
        <v>102</v>
      </c>
      <c r="R70" s="94" t="s">
        <v>103</v>
      </c>
      <c r="S70" s="94" t="s">
        <v>104</v>
      </c>
      <c r="T70" s="42" t="s">
        <v>102</v>
      </c>
      <c r="U70" s="42" t="s">
        <v>103</v>
      </c>
      <c r="V70" s="42" t="s">
        <v>104</v>
      </c>
    </row>
    <row r="71" spans="1:22" ht="18.75" x14ac:dyDescent="0.3">
      <c r="A71" s="43" t="s">
        <v>105</v>
      </c>
      <c r="B71" s="49">
        <v>7.2700000000000001E-2</v>
      </c>
      <c r="C71" s="49">
        <v>0.16220000000000001</v>
      </c>
      <c r="D71" s="49">
        <v>0.83779999999999999</v>
      </c>
      <c r="E71" s="50">
        <v>6.6799999999999998E-2</v>
      </c>
      <c r="F71" s="50">
        <v>0.18920000000000001</v>
      </c>
      <c r="G71" s="50">
        <v>0.81079999999999997</v>
      </c>
      <c r="H71" s="95">
        <v>6.4338235294117641E-2</v>
      </c>
      <c r="I71" s="96">
        <v>0.14285714285714285</v>
      </c>
      <c r="J71" s="96">
        <v>0.8571428571428571</v>
      </c>
      <c r="K71" s="97">
        <v>6.3200000000000006E-2</v>
      </c>
      <c r="L71" s="98">
        <v>0.17649999999999999</v>
      </c>
      <c r="M71" s="98">
        <v>0.82350000000000001</v>
      </c>
      <c r="N71" s="99">
        <v>6.4885496183206104E-2</v>
      </c>
      <c r="O71" s="133">
        <v>0.26470588235294118</v>
      </c>
      <c r="P71" s="99">
        <v>0.73529411764705888</v>
      </c>
      <c r="Q71" s="97">
        <v>6.6176470588235295E-2</v>
      </c>
      <c r="R71" s="98">
        <v>0.27777777777777779</v>
      </c>
      <c r="S71" s="98">
        <v>0.72222222222222221</v>
      </c>
      <c r="T71" s="99">
        <v>8.0935251798561147E-2</v>
      </c>
      <c r="U71" s="99">
        <v>0.22222222222222221</v>
      </c>
      <c r="V71" s="99">
        <v>0.77777777777777779</v>
      </c>
    </row>
    <row r="72" spans="1:22" x14ac:dyDescent="0.25">
      <c r="A72" s="51" t="s">
        <v>27</v>
      </c>
      <c r="B72" s="49">
        <v>0.12770000000000001</v>
      </c>
      <c r="C72" s="49">
        <v>0.2923</v>
      </c>
      <c r="D72" s="49">
        <v>0.7077</v>
      </c>
      <c r="E72" s="50">
        <v>0.13539999999999999</v>
      </c>
      <c r="F72" s="50">
        <v>0.29330000000000001</v>
      </c>
      <c r="G72" s="50">
        <v>0.70669999999999999</v>
      </c>
      <c r="H72" s="95">
        <v>0.13602941176470587</v>
      </c>
      <c r="I72" s="96">
        <v>0.29729729729729731</v>
      </c>
      <c r="J72" s="96">
        <v>0.70270270270270274</v>
      </c>
      <c r="K72" s="97">
        <v>0.13009999999999999</v>
      </c>
      <c r="L72" s="98">
        <v>0.28570000000000001</v>
      </c>
      <c r="M72" s="98">
        <v>0.71430000000000005</v>
      </c>
      <c r="N72" s="99">
        <v>0.11450381679389313</v>
      </c>
      <c r="O72" s="99">
        <v>0.28333333333333333</v>
      </c>
      <c r="P72" s="99">
        <v>0.71666666666666667</v>
      </c>
      <c r="Q72" s="97">
        <v>0.10477941176470588</v>
      </c>
      <c r="R72" s="98">
        <v>0.26315789473684209</v>
      </c>
      <c r="S72" s="98">
        <v>0.73684210526315785</v>
      </c>
      <c r="T72" s="99">
        <v>0.11510791366906475</v>
      </c>
      <c r="U72" s="99">
        <v>0.25</v>
      </c>
      <c r="V72" s="99">
        <v>0.75</v>
      </c>
    </row>
    <row r="73" spans="1:22" x14ac:dyDescent="0.25">
      <c r="A73" s="57" t="s">
        <v>40</v>
      </c>
      <c r="B73" s="60">
        <v>1.5699999999999999E-2</v>
      </c>
      <c r="C73" s="60">
        <v>0.125</v>
      </c>
      <c r="D73" s="60">
        <v>0.875</v>
      </c>
      <c r="E73" s="61">
        <v>1.26E-2</v>
      </c>
      <c r="F73" s="61">
        <v>0.1429</v>
      </c>
      <c r="G73" s="61">
        <v>0.85709999999999997</v>
      </c>
      <c r="H73" s="100">
        <v>9.1911764705882356E-3</v>
      </c>
      <c r="I73" s="101">
        <v>0.2</v>
      </c>
      <c r="J73" s="101">
        <v>0.8</v>
      </c>
      <c r="K73" s="61">
        <v>9.2999999999999992E-3</v>
      </c>
      <c r="L73" s="61">
        <v>0.2</v>
      </c>
      <c r="M73" s="61">
        <v>0.8</v>
      </c>
      <c r="N73" s="100">
        <v>1.3358778625954198E-2</v>
      </c>
      <c r="O73" s="101">
        <v>0.5714285714285714</v>
      </c>
      <c r="P73" s="101">
        <v>0.42857142857142855</v>
      </c>
      <c r="Q73" s="61">
        <v>1.1029411764705883E-2</v>
      </c>
      <c r="R73" s="61">
        <v>0.66666666666666663</v>
      </c>
      <c r="S73" s="61">
        <v>0.33333333333333331</v>
      </c>
      <c r="T73" s="100">
        <v>8.9928057553956831E-3</v>
      </c>
      <c r="U73" s="101">
        <v>0.8</v>
      </c>
      <c r="V73" s="101">
        <v>0.2</v>
      </c>
    </row>
    <row r="74" spans="1:22" x14ac:dyDescent="0.25">
      <c r="A74" s="51" t="s">
        <v>107</v>
      </c>
      <c r="B74" s="49">
        <v>2.1600000000000001E-2</v>
      </c>
      <c r="C74" s="49">
        <v>0.36359999999999998</v>
      </c>
      <c r="D74" s="49">
        <v>0.63639999999999997</v>
      </c>
      <c r="E74" s="50">
        <v>1.44E-2</v>
      </c>
      <c r="F74" s="50">
        <v>0.25</v>
      </c>
      <c r="G74" s="50">
        <v>0.75</v>
      </c>
      <c r="H74" s="95">
        <v>1.4705882352941176E-2</v>
      </c>
      <c r="I74" s="96">
        <v>0.25</v>
      </c>
      <c r="J74" s="96">
        <v>0.75</v>
      </c>
      <c r="K74" s="97">
        <v>1.2999999999999999E-2</v>
      </c>
      <c r="L74" s="98">
        <v>0.1429</v>
      </c>
      <c r="M74" s="98">
        <v>0.85709999999999997</v>
      </c>
      <c r="N74" s="99">
        <v>1.1450381679389313E-2</v>
      </c>
      <c r="O74" s="99">
        <v>0.16666666666666666</v>
      </c>
      <c r="P74" s="99">
        <v>0.83333333333333337</v>
      </c>
      <c r="Q74" s="97">
        <v>1.6544117647058824E-2</v>
      </c>
      <c r="R74" s="98">
        <v>0.44444444444444442</v>
      </c>
      <c r="S74" s="98">
        <v>0.55555555555555558</v>
      </c>
      <c r="T74" s="99">
        <v>1.618705035971223E-2</v>
      </c>
      <c r="U74" s="99">
        <v>0.44444444444444442</v>
      </c>
      <c r="V74" s="99">
        <v>0.55555555555555558</v>
      </c>
    </row>
    <row r="75" spans="1:22" x14ac:dyDescent="0.25">
      <c r="A75" s="51" t="s">
        <v>29</v>
      </c>
      <c r="B75" s="49">
        <v>2.75E-2</v>
      </c>
      <c r="C75" s="49">
        <v>0.92859999999999998</v>
      </c>
      <c r="D75" s="49">
        <v>7.1400000000000005E-2</v>
      </c>
      <c r="E75" s="50">
        <v>1.8100000000000002E-2</v>
      </c>
      <c r="F75" s="50">
        <v>1</v>
      </c>
      <c r="G75" s="50">
        <v>0</v>
      </c>
      <c r="H75" s="95">
        <v>1.8382352941176471E-2</v>
      </c>
      <c r="I75" s="96">
        <v>1</v>
      </c>
      <c r="J75" s="96">
        <v>0</v>
      </c>
      <c r="K75" s="97">
        <v>2.4199999999999999E-2</v>
      </c>
      <c r="L75" s="98">
        <v>0.84619999999999995</v>
      </c>
      <c r="M75" s="98">
        <v>0.15379999999999999</v>
      </c>
      <c r="N75" s="99">
        <v>1.5267175572519083E-2</v>
      </c>
      <c r="O75" s="99">
        <v>1</v>
      </c>
      <c r="P75" s="99">
        <v>0</v>
      </c>
      <c r="Q75" s="97">
        <v>9.1911764705882356E-3</v>
      </c>
      <c r="R75" s="98">
        <v>1</v>
      </c>
      <c r="S75" s="98">
        <v>0</v>
      </c>
      <c r="T75" s="99">
        <v>1.0791366906474821E-2</v>
      </c>
      <c r="U75" s="99">
        <v>0.83333333333333337</v>
      </c>
      <c r="V75" s="99">
        <v>0.16666666666666666</v>
      </c>
    </row>
    <row r="76" spans="1:22" x14ac:dyDescent="0.25">
      <c r="A76" s="51" t="s">
        <v>30</v>
      </c>
      <c r="B76" s="49">
        <v>3.3399999999999999E-2</v>
      </c>
      <c r="C76" s="49">
        <v>5.8799999999999998E-2</v>
      </c>
      <c r="D76" s="49">
        <v>0.94120000000000004</v>
      </c>
      <c r="E76" s="50">
        <v>1.26E-2</v>
      </c>
      <c r="F76" s="50">
        <v>0.1429</v>
      </c>
      <c r="G76" s="50">
        <v>0.85709999999999997</v>
      </c>
      <c r="H76" s="95">
        <v>1.1029411764705883E-2</v>
      </c>
      <c r="I76" s="96">
        <v>0.16666666666666666</v>
      </c>
      <c r="J76" s="96">
        <v>0.83333333333333337</v>
      </c>
      <c r="K76" s="97">
        <v>7.4000000000000003E-3</v>
      </c>
      <c r="L76" s="98">
        <v>0.25</v>
      </c>
      <c r="M76" s="98">
        <v>0.75</v>
      </c>
      <c r="N76" s="99">
        <v>3.8167938931297708E-3</v>
      </c>
      <c r="O76" s="99">
        <v>0</v>
      </c>
      <c r="P76" s="99">
        <v>1</v>
      </c>
      <c r="Q76" s="97">
        <v>3.6764705882352941E-3</v>
      </c>
      <c r="R76" s="98">
        <v>0</v>
      </c>
      <c r="S76" s="98">
        <v>1</v>
      </c>
      <c r="T76" s="99">
        <v>5.3956834532374104E-3</v>
      </c>
      <c r="U76" s="99">
        <v>0</v>
      </c>
      <c r="V76" s="99">
        <v>1</v>
      </c>
    </row>
    <row r="77" spans="1:22" x14ac:dyDescent="0.25">
      <c r="A77" s="51" t="s">
        <v>32</v>
      </c>
      <c r="B77" s="49">
        <v>0.1336</v>
      </c>
      <c r="C77" s="49">
        <v>8.8200000000000001E-2</v>
      </c>
      <c r="D77" s="49">
        <v>0.91180000000000005</v>
      </c>
      <c r="E77" s="50">
        <v>0.1462</v>
      </c>
      <c r="F77" s="50">
        <v>9.8799999999999999E-2</v>
      </c>
      <c r="G77" s="50">
        <v>0.9012</v>
      </c>
      <c r="H77" s="95">
        <v>0.13419117647058823</v>
      </c>
      <c r="I77" s="96">
        <v>6.8493150684931503E-2</v>
      </c>
      <c r="J77" s="96">
        <v>0.93150684931506844</v>
      </c>
      <c r="K77" s="97">
        <v>0.1338</v>
      </c>
      <c r="L77" s="98">
        <v>0.25</v>
      </c>
      <c r="M77" s="98">
        <v>0.75</v>
      </c>
      <c r="N77" s="99">
        <v>0.13358778625954199</v>
      </c>
      <c r="O77" s="99">
        <v>0</v>
      </c>
      <c r="P77" s="99">
        <v>1</v>
      </c>
      <c r="Q77" s="97">
        <v>0.13419117647058823</v>
      </c>
      <c r="R77" s="98">
        <v>0</v>
      </c>
      <c r="S77" s="98">
        <v>1</v>
      </c>
      <c r="T77" s="99">
        <v>0.1223021582733813</v>
      </c>
      <c r="U77" s="99">
        <v>0</v>
      </c>
      <c r="V77" s="99">
        <v>1</v>
      </c>
    </row>
    <row r="78" spans="1:22" ht="15" customHeight="1" x14ac:dyDescent="0.25">
      <c r="A78" s="51" t="s">
        <v>44</v>
      </c>
      <c r="B78" s="49">
        <v>0.56779999999999997</v>
      </c>
      <c r="C78" s="49">
        <v>0.23530000000000001</v>
      </c>
      <c r="D78" s="49">
        <v>0.76470000000000005</v>
      </c>
      <c r="E78" s="50">
        <v>0.59389999999999998</v>
      </c>
      <c r="F78" s="50">
        <v>0.25840000000000002</v>
      </c>
      <c r="G78" s="50">
        <v>0.74160000000000004</v>
      </c>
      <c r="H78" s="95">
        <v>0.61213235294117652</v>
      </c>
      <c r="I78" s="96">
        <v>0.25225225225225223</v>
      </c>
      <c r="J78" s="96">
        <v>0.74774774774774777</v>
      </c>
      <c r="K78" s="97">
        <v>0.61899999999999999</v>
      </c>
      <c r="L78" s="98">
        <v>6.9400000000000003E-2</v>
      </c>
      <c r="M78" s="98">
        <v>0.93059999999999998</v>
      </c>
      <c r="N78" s="99">
        <v>0.64312977099236646</v>
      </c>
      <c r="O78" s="99">
        <v>8.5714285714285715E-2</v>
      </c>
      <c r="P78" s="99">
        <v>0.91428571428571426</v>
      </c>
      <c r="Q78" s="97">
        <v>0.65441176470588236</v>
      </c>
      <c r="R78" s="98">
        <v>5.4794520547945202E-2</v>
      </c>
      <c r="S78" s="98">
        <v>0.9452054794520548</v>
      </c>
      <c r="T78" s="99">
        <v>0.64028776978417268</v>
      </c>
      <c r="U78" s="99">
        <v>5.8823529411764705E-2</v>
      </c>
      <c r="V78" s="99">
        <v>0.94117647058823528</v>
      </c>
    </row>
    <row r="79" spans="1:22" ht="15" customHeight="1" x14ac:dyDescent="0.25">
      <c r="A79" s="51" t="s">
        <v>108</v>
      </c>
      <c r="B79" s="102">
        <v>0</v>
      </c>
      <c r="C79" s="102">
        <v>0</v>
      </c>
      <c r="D79" s="102">
        <v>0</v>
      </c>
      <c r="E79" s="103">
        <v>0</v>
      </c>
      <c r="F79" s="103">
        <v>0</v>
      </c>
      <c r="G79" s="103">
        <v>0</v>
      </c>
      <c r="H79" s="104">
        <v>1</v>
      </c>
      <c r="I79" s="103">
        <v>0.23897058823529413</v>
      </c>
      <c r="J79" s="103">
        <v>0.76102941176470584</v>
      </c>
      <c r="K79" s="103">
        <v>0</v>
      </c>
      <c r="L79" s="105">
        <v>0</v>
      </c>
      <c r="M79" s="105">
        <v>0</v>
      </c>
      <c r="N79" s="106"/>
      <c r="O79" s="106"/>
      <c r="P79" s="106"/>
      <c r="Q79" s="103"/>
      <c r="R79" s="105"/>
      <c r="S79" s="105"/>
      <c r="T79" s="106"/>
      <c r="U79" s="106"/>
      <c r="V79" s="106"/>
    </row>
    <row r="80" spans="1:22" x14ac:dyDescent="0.25">
      <c r="A80" s="62" t="s">
        <v>109</v>
      </c>
      <c r="B80" s="65"/>
      <c r="C80" s="65">
        <v>0.23180000000000001</v>
      </c>
      <c r="D80" s="65">
        <v>0.76819999999999999</v>
      </c>
      <c r="E80" s="107"/>
      <c r="F80" s="108">
        <v>0.2455</v>
      </c>
      <c r="G80" s="109">
        <v>0.75449999999999995</v>
      </c>
      <c r="H80" s="110"/>
      <c r="I80" s="111">
        <v>0.23897058823529413</v>
      </c>
      <c r="J80" s="111">
        <v>0.76102941176470584</v>
      </c>
      <c r="K80" s="97"/>
      <c r="L80" s="112">
        <v>0.21929999999999999</v>
      </c>
      <c r="M80" s="112">
        <v>0.78069999999999995</v>
      </c>
      <c r="N80" s="99"/>
      <c r="O80" s="99">
        <v>0.23473282442748092</v>
      </c>
      <c r="P80" s="99">
        <v>0.76526717557251911</v>
      </c>
      <c r="Q80" s="97"/>
      <c r="R80" s="112">
        <v>0.24632352941176472</v>
      </c>
      <c r="S80" s="112">
        <v>0.75367647058823528</v>
      </c>
      <c r="T80" s="99"/>
      <c r="U80" s="99">
        <v>0.24279999999999999</v>
      </c>
      <c r="V80" s="99">
        <v>0.75719999999999998</v>
      </c>
    </row>
    <row r="81" spans="1:22" x14ac:dyDescent="0.25">
      <c r="A81" s="69"/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/>
      <c r="O81"/>
      <c r="P81"/>
      <c r="Q81" s="69"/>
      <c r="R81" s="69"/>
      <c r="S81" s="69"/>
      <c r="T81"/>
      <c r="U81"/>
      <c r="V81"/>
    </row>
    <row r="82" spans="1:22" x14ac:dyDescent="0.25">
      <c r="A82" s="36"/>
      <c r="B82" s="37">
        <v>2015</v>
      </c>
      <c r="C82" s="37"/>
      <c r="D82" s="37"/>
      <c r="E82" s="37">
        <v>2016</v>
      </c>
      <c r="F82" s="37"/>
      <c r="G82" s="37"/>
      <c r="H82" s="37">
        <v>2017</v>
      </c>
      <c r="I82" s="37"/>
      <c r="J82" s="37"/>
      <c r="K82" s="37">
        <v>2018</v>
      </c>
      <c r="L82" s="37"/>
      <c r="M82" s="37"/>
      <c r="N82" s="93">
        <v>2019</v>
      </c>
      <c r="O82" s="93"/>
      <c r="P82" s="93"/>
      <c r="Q82" s="93">
        <v>2020</v>
      </c>
      <c r="R82" s="93"/>
      <c r="S82" s="93"/>
      <c r="T82" s="93">
        <v>2021</v>
      </c>
      <c r="U82" s="93"/>
      <c r="V82" s="93"/>
    </row>
    <row r="83" spans="1:22" x14ac:dyDescent="0.25">
      <c r="A83" s="38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93"/>
      <c r="O83" s="93"/>
      <c r="P83" s="93"/>
      <c r="Q83" s="93"/>
      <c r="R83" s="93"/>
      <c r="S83" s="93"/>
      <c r="T83" s="93"/>
      <c r="U83" s="93"/>
      <c r="V83" s="93"/>
    </row>
    <row r="84" spans="1:22" ht="30" x14ac:dyDescent="0.25">
      <c r="A84" s="39" t="s">
        <v>110</v>
      </c>
      <c r="B84" s="42" t="s">
        <v>102</v>
      </c>
      <c r="C84" s="42" t="s">
        <v>103</v>
      </c>
      <c r="D84" s="42" t="s">
        <v>104</v>
      </c>
      <c r="E84" s="40" t="s">
        <v>102</v>
      </c>
      <c r="F84" s="40" t="s">
        <v>103</v>
      </c>
      <c r="G84" s="40" t="s">
        <v>104</v>
      </c>
      <c r="H84" s="113" t="s">
        <v>102</v>
      </c>
      <c r="I84" s="113" t="s">
        <v>103</v>
      </c>
      <c r="J84" s="113" t="s">
        <v>104</v>
      </c>
      <c r="K84" s="114" t="s">
        <v>102</v>
      </c>
      <c r="L84" s="114" t="s">
        <v>103</v>
      </c>
      <c r="M84" s="114" t="s">
        <v>104</v>
      </c>
      <c r="N84" s="113" t="s">
        <v>102</v>
      </c>
      <c r="O84" s="113" t="s">
        <v>103</v>
      </c>
      <c r="P84" s="113" t="s">
        <v>104</v>
      </c>
      <c r="Q84" s="114" t="s">
        <v>102</v>
      </c>
      <c r="R84" s="114" t="s">
        <v>103</v>
      </c>
      <c r="S84" s="114" t="s">
        <v>104</v>
      </c>
      <c r="T84" s="113" t="s">
        <v>102</v>
      </c>
      <c r="U84" s="113" t="s">
        <v>103</v>
      </c>
      <c r="V84" s="113" t="s">
        <v>104</v>
      </c>
    </row>
    <row r="85" spans="1:22" x14ac:dyDescent="0.25">
      <c r="A85" s="43" t="s">
        <v>41</v>
      </c>
      <c r="B85" s="49">
        <v>0.16475095785440613</v>
      </c>
      <c r="C85" s="49">
        <v>0.23255813953488372</v>
      </c>
      <c r="D85" s="49">
        <v>0.76744186046511631</v>
      </c>
      <c r="E85" s="115">
        <v>0.14963503649635038</v>
      </c>
      <c r="F85" s="52">
        <v>0.26829268292682928</v>
      </c>
      <c r="G85" s="52">
        <v>0.73170731707317072</v>
      </c>
      <c r="H85" s="84">
        <v>0.13131313131313133</v>
      </c>
      <c r="I85" s="84">
        <v>0.28205128205128205</v>
      </c>
      <c r="J85" s="84">
        <v>0.71794871794871795</v>
      </c>
      <c r="K85" s="116">
        <v>0.1357142857142857</v>
      </c>
      <c r="L85" s="116">
        <v>0.26315789473684209</v>
      </c>
      <c r="M85" s="116">
        <v>0.73684210526315785</v>
      </c>
      <c r="N85" s="84">
        <v>0.13732394366197184</v>
      </c>
      <c r="O85" s="99">
        <v>0.30769230769230771</v>
      </c>
      <c r="P85" s="99">
        <v>0.69230769230769229</v>
      </c>
      <c r="Q85" s="116">
        <v>0.14385964912280702</v>
      </c>
      <c r="R85" s="116">
        <v>0.34146341463414637</v>
      </c>
      <c r="S85" s="116">
        <v>0.65853658536585369</v>
      </c>
      <c r="T85" s="84">
        <v>0.145985401459854</v>
      </c>
      <c r="U85" s="99">
        <v>0.32500000000000001</v>
      </c>
      <c r="V85" s="99">
        <v>0.67500000000000004</v>
      </c>
    </row>
    <row r="86" spans="1:22" x14ac:dyDescent="0.25">
      <c r="A86" s="51" t="s">
        <v>27</v>
      </c>
      <c r="B86" s="49">
        <v>0.26053639846743293</v>
      </c>
      <c r="C86" s="49">
        <v>0.3235294117647059</v>
      </c>
      <c r="D86" s="49">
        <v>0.67647058823529416</v>
      </c>
      <c r="E86" s="115">
        <v>0.39051094890510951</v>
      </c>
      <c r="F86" s="52">
        <v>0.28037383177570091</v>
      </c>
      <c r="G86" s="52">
        <v>0.71962616822429903</v>
      </c>
      <c r="H86" s="84">
        <v>0.40067340067340068</v>
      </c>
      <c r="I86" s="84">
        <v>0.33613445378151263</v>
      </c>
      <c r="J86" s="84">
        <v>0.66386554621848737</v>
      </c>
      <c r="K86" s="116">
        <v>0.41428571428571431</v>
      </c>
      <c r="L86" s="116">
        <v>0.29310344827586204</v>
      </c>
      <c r="M86" s="116">
        <v>0.7068965517241379</v>
      </c>
      <c r="N86" s="84">
        <v>0.426056338028169</v>
      </c>
      <c r="O86" s="99">
        <v>0.2975206611570248</v>
      </c>
      <c r="P86" s="99">
        <v>0.7024793388429752</v>
      </c>
      <c r="Q86" s="116">
        <v>0.43859649122807015</v>
      </c>
      <c r="R86" s="116">
        <v>0.32</v>
      </c>
      <c r="S86" s="116">
        <v>0.68</v>
      </c>
      <c r="T86" s="84">
        <v>0.46715328467153283</v>
      </c>
      <c r="U86" s="99">
        <v>0.3046875</v>
      </c>
      <c r="V86" s="99">
        <v>0.6953125</v>
      </c>
    </row>
    <row r="87" spans="1:22" x14ac:dyDescent="0.25">
      <c r="A87" s="57" t="s">
        <v>40</v>
      </c>
      <c r="B87" s="60">
        <v>9.9616858237547887E-2</v>
      </c>
      <c r="C87" s="60">
        <v>0.19230769230769232</v>
      </c>
      <c r="D87" s="60">
        <v>0.80769230769230771</v>
      </c>
      <c r="E87" s="118"/>
      <c r="F87" s="136"/>
      <c r="G87" s="136"/>
      <c r="H87" s="117"/>
      <c r="I87" s="118"/>
      <c r="J87" s="118"/>
      <c r="K87" s="117"/>
      <c r="L87" s="118"/>
      <c r="M87" s="118"/>
      <c r="N87" s="119"/>
      <c r="O87" s="120"/>
      <c r="P87" s="120"/>
      <c r="Q87" s="117"/>
      <c r="R87" s="118"/>
      <c r="S87" s="118"/>
      <c r="T87" s="119"/>
      <c r="U87" s="120"/>
      <c r="V87" s="120"/>
    </row>
    <row r="88" spans="1:22" x14ac:dyDescent="0.25">
      <c r="A88" s="51" t="s">
        <v>107</v>
      </c>
      <c r="B88" s="49">
        <v>4.9808429118773943E-2</v>
      </c>
      <c r="C88" s="49">
        <v>7.6923076923076927E-2</v>
      </c>
      <c r="D88" s="49">
        <v>0.92307692307692313</v>
      </c>
      <c r="E88" s="115">
        <v>4.3795620437956206E-2</v>
      </c>
      <c r="F88" s="52">
        <v>8.3333333333333329E-2</v>
      </c>
      <c r="G88" s="52">
        <v>0.91666666666666663</v>
      </c>
      <c r="H88" s="121"/>
      <c r="I88" s="121"/>
      <c r="J88" s="121"/>
      <c r="K88" s="121"/>
      <c r="L88" s="121"/>
      <c r="M88" s="121"/>
      <c r="N88" s="119"/>
      <c r="O88" s="120"/>
      <c r="P88" s="120"/>
      <c r="Q88" s="121"/>
      <c r="R88" s="121"/>
      <c r="S88" s="121"/>
      <c r="T88" s="119"/>
      <c r="U88" s="120"/>
      <c r="V88" s="120"/>
    </row>
    <row r="89" spans="1:22" x14ac:dyDescent="0.25">
      <c r="A89" s="51" t="s">
        <v>29</v>
      </c>
      <c r="B89" s="49">
        <v>5.3639846743295021E-2</v>
      </c>
      <c r="C89" s="49">
        <v>1</v>
      </c>
      <c r="D89" s="49">
        <v>0</v>
      </c>
      <c r="E89" s="115">
        <v>5.4744525547445258E-2</v>
      </c>
      <c r="F89" s="52">
        <v>1</v>
      </c>
      <c r="G89" s="52">
        <v>0</v>
      </c>
      <c r="H89" s="84">
        <v>7.7441077441077436E-2</v>
      </c>
      <c r="I89" s="84">
        <v>1</v>
      </c>
      <c r="J89" s="84">
        <v>0</v>
      </c>
      <c r="K89" s="116">
        <v>7.1428571428571425E-2</v>
      </c>
      <c r="L89" s="116">
        <v>1</v>
      </c>
      <c r="M89" s="116">
        <v>0</v>
      </c>
      <c r="N89" s="84">
        <v>6.6901408450704219E-2</v>
      </c>
      <c r="O89" s="99">
        <v>0.94736842105263153</v>
      </c>
      <c r="P89" s="99">
        <v>5.2631578947368418E-2</v>
      </c>
      <c r="Q89" s="116">
        <v>4.5614035087719301E-2</v>
      </c>
      <c r="R89" s="116">
        <v>1</v>
      </c>
      <c r="S89" s="116">
        <v>0</v>
      </c>
      <c r="T89" s="84">
        <v>4.3795620437956206E-2</v>
      </c>
      <c r="U89" s="99">
        <v>1</v>
      </c>
      <c r="V89" s="99">
        <v>0</v>
      </c>
    </row>
    <row r="90" spans="1:22" x14ac:dyDescent="0.25">
      <c r="A90" s="51" t="s">
        <v>30</v>
      </c>
      <c r="B90" s="134"/>
      <c r="C90" s="134"/>
      <c r="D90" s="134"/>
      <c r="E90" s="121"/>
      <c r="F90" s="122"/>
      <c r="G90" s="122"/>
      <c r="H90" s="121"/>
      <c r="I90" s="121"/>
      <c r="J90" s="121"/>
      <c r="K90" s="121"/>
      <c r="L90" s="121"/>
      <c r="M90" s="121"/>
      <c r="N90" s="119"/>
      <c r="O90" s="120"/>
      <c r="P90" s="120"/>
      <c r="Q90" s="121"/>
      <c r="R90" s="121"/>
      <c r="S90" s="121"/>
      <c r="T90" s="119"/>
      <c r="U90" s="120"/>
      <c r="V90" s="120"/>
    </row>
    <row r="91" spans="1:22" x14ac:dyDescent="0.25">
      <c r="A91" s="51" t="s">
        <v>32</v>
      </c>
      <c r="B91" s="49">
        <v>0.27586206896551724</v>
      </c>
      <c r="C91" s="49">
        <v>0</v>
      </c>
      <c r="D91" s="49">
        <v>1</v>
      </c>
      <c r="E91" s="123">
        <v>0.26277372262773724</v>
      </c>
      <c r="F91" s="52">
        <v>0</v>
      </c>
      <c r="G91" s="52">
        <v>1</v>
      </c>
      <c r="H91" s="84">
        <v>0.30303030303030304</v>
      </c>
      <c r="I91" s="84">
        <v>0</v>
      </c>
      <c r="J91" s="84">
        <v>1</v>
      </c>
      <c r="K91" s="116">
        <v>0.29642857142857143</v>
      </c>
      <c r="L91" s="116">
        <v>0</v>
      </c>
      <c r="M91" s="116">
        <v>1</v>
      </c>
      <c r="N91" s="84">
        <v>0.30281690140845069</v>
      </c>
      <c r="O91" s="99">
        <v>1.1627906976744186E-2</v>
      </c>
      <c r="P91" s="99">
        <v>0.98837209302325579</v>
      </c>
      <c r="Q91" s="116">
        <v>0.2982456140350877</v>
      </c>
      <c r="R91" s="116">
        <v>3.5294117647058823E-2</v>
      </c>
      <c r="S91" s="116">
        <v>0.96470588235294119</v>
      </c>
      <c r="T91" s="84">
        <v>0.27737226277372262</v>
      </c>
      <c r="U91" s="99">
        <v>2.6315789473684209E-2</v>
      </c>
      <c r="V91" s="99">
        <v>0.97368421052631582</v>
      </c>
    </row>
    <row r="92" spans="1:22" x14ac:dyDescent="0.25">
      <c r="A92" s="51" t="s">
        <v>44</v>
      </c>
      <c r="B92" s="134"/>
      <c r="C92" s="134"/>
      <c r="D92" s="134"/>
      <c r="E92" s="121"/>
      <c r="F92" s="122"/>
      <c r="G92" s="122"/>
      <c r="H92" s="121"/>
      <c r="I92" s="121"/>
      <c r="J92" s="121"/>
      <c r="K92" s="121"/>
      <c r="L92" s="121"/>
      <c r="M92" s="121"/>
      <c r="N92" s="119"/>
      <c r="O92" s="120"/>
      <c r="P92" s="120"/>
      <c r="Q92" s="121"/>
      <c r="R92" s="121"/>
      <c r="S92" s="121"/>
      <c r="T92" s="119"/>
      <c r="U92" s="120"/>
      <c r="V92" s="120"/>
    </row>
    <row r="93" spans="1:22" x14ac:dyDescent="0.25">
      <c r="A93" s="51" t="s">
        <v>108</v>
      </c>
      <c r="B93" s="48">
        <v>9.5785440613026823E-2</v>
      </c>
      <c r="C93" s="48">
        <v>0.8</v>
      </c>
      <c r="D93" s="48">
        <v>0.2</v>
      </c>
      <c r="E93" s="115">
        <v>9.8540145985401464E-2</v>
      </c>
      <c r="F93" s="52">
        <v>0.81481481481481477</v>
      </c>
      <c r="G93" s="52">
        <v>0.18518518518518517</v>
      </c>
      <c r="H93" s="84">
        <v>8.7542087542087546E-2</v>
      </c>
      <c r="I93" s="84">
        <v>0.84615384615384615</v>
      </c>
      <c r="J93" s="84">
        <v>0.15384615384615385</v>
      </c>
      <c r="K93" s="116">
        <v>8.2142857142857142E-2</v>
      </c>
      <c r="L93" s="116">
        <v>0.82608695652173914</v>
      </c>
      <c r="M93" s="116">
        <v>0.17391304347826086</v>
      </c>
      <c r="N93" s="84">
        <v>6.6901408450704219E-2</v>
      </c>
      <c r="O93" s="99">
        <v>0.84210526315789469</v>
      </c>
      <c r="P93" s="99">
        <v>0.15789473684210525</v>
      </c>
      <c r="Q93" s="116">
        <v>7.3684210526315783E-2</v>
      </c>
      <c r="R93" s="116">
        <v>0.76190476190476186</v>
      </c>
      <c r="S93" s="116">
        <v>0.23809523809523808</v>
      </c>
      <c r="T93" s="84">
        <v>6.569343065693431E-2</v>
      </c>
      <c r="U93" s="99">
        <v>0.66666666666666663</v>
      </c>
      <c r="V93" s="99">
        <v>0.33333333333333331</v>
      </c>
    </row>
    <row r="94" spans="1:22" x14ac:dyDescent="0.25">
      <c r="A94" s="62" t="s">
        <v>109</v>
      </c>
      <c r="B94" s="82"/>
      <c r="C94" s="82">
        <v>0.27586206896551724</v>
      </c>
      <c r="D94" s="82">
        <v>0.72413793103448276</v>
      </c>
      <c r="E94" s="124"/>
      <c r="F94" s="63">
        <v>0.28832116788321166</v>
      </c>
      <c r="G94" s="63">
        <v>0.71167883211678828</v>
      </c>
      <c r="H94" s="125"/>
      <c r="I94" s="126">
        <v>0.32323232323232326</v>
      </c>
      <c r="J94" s="126">
        <v>0.6767676767676768</v>
      </c>
      <c r="K94" s="127"/>
      <c r="L94" s="128">
        <v>0.29642857142857143</v>
      </c>
      <c r="M94" s="128">
        <v>0.70357142857142863</v>
      </c>
      <c r="N94" s="126"/>
      <c r="O94" s="135">
        <v>0.29225352112676056</v>
      </c>
      <c r="P94" s="135">
        <v>0.70774647887323938</v>
      </c>
      <c r="Q94" s="127"/>
      <c r="R94" s="128">
        <v>0.30175438596491228</v>
      </c>
      <c r="S94" s="128">
        <v>0.69824561403508767</v>
      </c>
      <c r="T94" s="126"/>
      <c r="U94" s="135">
        <v>0.28467153284671531</v>
      </c>
      <c r="V94" s="135">
        <v>0.71532846715328469</v>
      </c>
    </row>
    <row r="95" spans="1:22" x14ac:dyDescent="0.25">
      <c r="A95" s="69"/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/>
      <c r="O95"/>
      <c r="P95"/>
      <c r="Q95"/>
      <c r="R95"/>
      <c r="S95"/>
      <c r="T95"/>
      <c r="U95"/>
      <c r="V95"/>
    </row>
    <row r="96" spans="1:22" x14ac:dyDescent="0.25">
      <c r="A96" s="36"/>
      <c r="B96" s="37">
        <v>2015</v>
      </c>
      <c r="C96" s="37"/>
      <c r="D96" s="37"/>
      <c r="E96" s="37">
        <v>2016</v>
      </c>
      <c r="F96" s="37"/>
      <c r="G96" s="37"/>
      <c r="H96" s="37">
        <v>2017</v>
      </c>
      <c r="I96" s="37"/>
      <c r="J96" s="37"/>
      <c r="K96" s="37">
        <v>2018</v>
      </c>
      <c r="L96" s="37"/>
      <c r="M96" s="37"/>
      <c r="N96" s="93">
        <v>2019</v>
      </c>
      <c r="O96" s="93"/>
      <c r="P96" s="93"/>
      <c r="Q96" s="37">
        <v>2020</v>
      </c>
      <c r="R96" s="37"/>
      <c r="S96" s="37"/>
      <c r="T96" s="93">
        <v>2021</v>
      </c>
      <c r="U96" s="93"/>
      <c r="V96" s="93"/>
    </row>
    <row r="97" spans="1:22" x14ac:dyDescent="0.25">
      <c r="A97" s="38"/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93"/>
      <c r="O97" s="93"/>
      <c r="P97" s="93"/>
      <c r="Q97" s="37"/>
      <c r="R97" s="37"/>
      <c r="S97" s="37"/>
      <c r="T97" s="93"/>
      <c r="U97" s="93"/>
      <c r="V97" s="93"/>
    </row>
    <row r="98" spans="1:22" ht="30" x14ac:dyDescent="0.25">
      <c r="A98" s="39" t="s">
        <v>111</v>
      </c>
      <c r="B98" s="42" t="s">
        <v>102</v>
      </c>
      <c r="C98" s="42" t="s">
        <v>103</v>
      </c>
      <c r="D98" s="42" t="s">
        <v>104</v>
      </c>
      <c r="E98" s="40" t="s">
        <v>102</v>
      </c>
      <c r="F98" s="40" t="s">
        <v>103</v>
      </c>
      <c r="G98" s="40" t="s">
        <v>104</v>
      </c>
      <c r="H98" s="113" t="s">
        <v>102</v>
      </c>
      <c r="I98" s="113" t="s">
        <v>103</v>
      </c>
      <c r="J98" s="113" t="s">
        <v>104</v>
      </c>
      <c r="K98" s="114" t="s">
        <v>102</v>
      </c>
      <c r="L98" s="114" t="s">
        <v>103</v>
      </c>
      <c r="M98" s="114" t="s">
        <v>104</v>
      </c>
      <c r="N98" s="113" t="s">
        <v>102</v>
      </c>
      <c r="O98" s="113" t="s">
        <v>103</v>
      </c>
      <c r="P98" s="113" t="s">
        <v>104</v>
      </c>
      <c r="Q98" s="114" t="s">
        <v>102</v>
      </c>
      <c r="R98" s="114" t="s">
        <v>103</v>
      </c>
      <c r="S98" s="114" t="s">
        <v>104</v>
      </c>
      <c r="T98" s="113" t="s">
        <v>102</v>
      </c>
      <c r="U98" s="113" t="s">
        <v>103</v>
      </c>
      <c r="V98" s="113" t="s">
        <v>104</v>
      </c>
    </row>
    <row r="99" spans="1:22" x14ac:dyDescent="0.25">
      <c r="A99" s="51" t="s">
        <v>41</v>
      </c>
      <c r="B99" s="84">
        <v>9.2068774265113701E-2</v>
      </c>
      <c r="C99" s="84">
        <v>0.36746987951807231</v>
      </c>
      <c r="D99" s="48">
        <v>0.63253012048192769</v>
      </c>
      <c r="E99" s="44">
        <v>9.79765708200213E-2</v>
      </c>
      <c r="F99" s="44">
        <v>0.33152173913043476</v>
      </c>
      <c r="G99" s="44">
        <v>0.66847826086956519</v>
      </c>
      <c r="H99" s="99">
        <v>9.8049551924090664E-2</v>
      </c>
      <c r="I99" s="99">
        <v>0.30107526881720431</v>
      </c>
      <c r="J99" s="99">
        <v>0.69892473118279574</v>
      </c>
      <c r="K99" s="112">
        <v>9.7308488612836433E-2</v>
      </c>
      <c r="L99" s="112">
        <v>0.39361702127659576</v>
      </c>
      <c r="M99" s="112">
        <v>0.6063829787234043</v>
      </c>
      <c r="N99" s="99">
        <v>0.10564102564102563</v>
      </c>
      <c r="O99" s="99">
        <v>0.40291262135922329</v>
      </c>
      <c r="P99" s="99">
        <v>0.59708737864077666</v>
      </c>
      <c r="Q99" s="112">
        <v>0.12367864693446089</v>
      </c>
      <c r="R99" s="112">
        <v>0.37179487179487181</v>
      </c>
      <c r="S99" s="112">
        <v>0.62820512820512819</v>
      </c>
      <c r="T99" s="99">
        <v>0.1281265952016335</v>
      </c>
      <c r="U99" s="99">
        <v>0.37450199203187251</v>
      </c>
      <c r="V99" s="99">
        <v>0.62948207171314741</v>
      </c>
    </row>
    <row r="100" spans="1:22" x14ac:dyDescent="0.25">
      <c r="A100" s="51" t="s">
        <v>27</v>
      </c>
      <c r="B100" s="84">
        <v>0.21852468108707709</v>
      </c>
      <c r="C100" s="84">
        <v>0.60152284263959388</v>
      </c>
      <c r="D100" s="48">
        <v>0.39847715736040606</v>
      </c>
      <c r="E100" s="44">
        <v>0.2215122470713525</v>
      </c>
      <c r="F100" s="44">
        <v>0.57932692307692313</v>
      </c>
      <c r="G100" s="44">
        <v>0.42067307692307693</v>
      </c>
      <c r="H100" s="99">
        <v>0.21296784396415391</v>
      </c>
      <c r="I100" s="99">
        <v>0.58415841584158412</v>
      </c>
      <c r="J100" s="99">
        <v>0.41336633663366334</v>
      </c>
      <c r="K100" s="112">
        <v>0.21894409937888198</v>
      </c>
      <c r="L100" s="112">
        <v>0.5721040189125296</v>
      </c>
      <c r="M100" s="112">
        <v>0.42789598108747046</v>
      </c>
      <c r="N100" s="99">
        <v>0.22102564102564101</v>
      </c>
      <c r="O100" s="99">
        <v>0.58004640371229699</v>
      </c>
      <c r="P100" s="99">
        <v>0.41995359628770301</v>
      </c>
      <c r="Q100" s="112">
        <v>0.22093023255813954</v>
      </c>
      <c r="R100" s="112">
        <v>0.57177033492822971</v>
      </c>
      <c r="S100" s="112">
        <v>0.42822966507177035</v>
      </c>
      <c r="T100" s="99">
        <v>0.22664624808575803</v>
      </c>
      <c r="U100" s="99">
        <v>0.59684684684684686</v>
      </c>
      <c r="V100" s="99">
        <v>0.40090090090090091</v>
      </c>
    </row>
    <row r="101" spans="1:22" x14ac:dyDescent="0.25">
      <c r="A101" s="51" t="s">
        <v>28</v>
      </c>
      <c r="B101" s="84">
        <v>0.14475873544093179</v>
      </c>
      <c r="C101" s="84">
        <v>0.55172413793103448</v>
      </c>
      <c r="D101" s="48">
        <v>0.44827586206896552</v>
      </c>
      <c r="E101" s="44">
        <v>0.14962726304579341</v>
      </c>
      <c r="F101" s="44">
        <v>0.53736654804270467</v>
      </c>
      <c r="G101" s="44">
        <v>0.46619217081850534</v>
      </c>
      <c r="H101" s="99">
        <v>0.15129151291512916</v>
      </c>
      <c r="I101" s="99">
        <v>0.55052264808362372</v>
      </c>
      <c r="J101" s="99">
        <v>0.44599303135888502</v>
      </c>
      <c r="K101" s="112">
        <v>0.14389233954451347</v>
      </c>
      <c r="L101" s="112">
        <v>0.5467625899280576</v>
      </c>
      <c r="M101" s="112">
        <v>0.45323741007194246</v>
      </c>
      <c r="N101" s="99">
        <v>0.13384615384615384</v>
      </c>
      <c r="O101" s="99">
        <v>0.50574712643678166</v>
      </c>
      <c r="P101" s="99">
        <v>0.4942528735632184</v>
      </c>
      <c r="Q101" s="112">
        <v>0.14429175475687103</v>
      </c>
      <c r="R101" s="112">
        <v>0.50183150183150182</v>
      </c>
      <c r="S101" s="112">
        <v>0.49816849816849818</v>
      </c>
      <c r="T101" s="99">
        <v>0.15671260847371107</v>
      </c>
      <c r="U101" s="99">
        <v>0.50814332247557004</v>
      </c>
      <c r="V101" s="99">
        <v>0.49185667752442996</v>
      </c>
    </row>
    <row r="102" spans="1:22" x14ac:dyDescent="0.25">
      <c r="A102" s="51" t="s">
        <v>29</v>
      </c>
      <c r="B102" s="84">
        <v>3.8269550748752081E-2</v>
      </c>
      <c r="C102" s="84">
        <v>0.84057971014492749</v>
      </c>
      <c r="D102" s="48">
        <v>0.15942028985507245</v>
      </c>
      <c r="E102" s="44">
        <v>4.5793397231096912E-2</v>
      </c>
      <c r="F102" s="44">
        <v>0.80232558139534882</v>
      </c>
      <c r="G102" s="44">
        <v>0.18604651162790697</v>
      </c>
      <c r="H102" s="99">
        <v>5.3241960991038478E-2</v>
      </c>
      <c r="I102" s="99">
        <v>0.80198019801980203</v>
      </c>
      <c r="J102" s="99">
        <v>0.19801980198019803</v>
      </c>
      <c r="K102" s="112">
        <v>4.7619047619047616E-2</v>
      </c>
      <c r="L102" s="112">
        <v>0.77173913043478259</v>
      </c>
      <c r="M102" s="112">
        <v>0.22826086956521738</v>
      </c>
      <c r="N102" s="99">
        <v>4.8205128205128206E-2</v>
      </c>
      <c r="O102" s="99">
        <v>0.78723404255319152</v>
      </c>
      <c r="P102" s="99">
        <v>0.21276595744680851</v>
      </c>
      <c r="Q102" s="112">
        <v>4.2283298097251586E-2</v>
      </c>
      <c r="R102" s="112">
        <v>0.8125</v>
      </c>
      <c r="S102" s="112">
        <v>0.1875</v>
      </c>
      <c r="T102" s="99">
        <v>3.8284839203675342E-2</v>
      </c>
      <c r="U102" s="99">
        <v>0.72</v>
      </c>
      <c r="V102" s="99">
        <v>0.28000000000000003</v>
      </c>
    </row>
    <row r="103" spans="1:22" x14ac:dyDescent="0.25">
      <c r="A103" s="51" t="s">
        <v>30</v>
      </c>
      <c r="B103" s="84">
        <v>0.23183582917359954</v>
      </c>
      <c r="C103" s="84">
        <v>0.60287081339712922</v>
      </c>
      <c r="D103" s="48">
        <v>0.39473684210526316</v>
      </c>
      <c r="E103" s="44">
        <v>0.22310969116080936</v>
      </c>
      <c r="F103" s="44">
        <v>0.60381861575178997</v>
      </c>
      <c r="G103" s="44">
        <v>0.39856801909307876</v>
      </c>
      <c r="H103" s="99">
        <v>0.22509225092250923</v>
      </c>
      <c r="I103" s="99">
        <v>0.58313817330210771</v>
      </c>
      <c r="J103" s="99">
        <v>0.41686182669789229</v>
      </c>
      <c r="K103" s="112">
        <v>0.24120082815734989</v>
      </c>
      <c r="L103" s="112">
        <v>0.56866952789699576</v>
      </c>
      <c r="M103" s="112">
        <v>0.43133047210300429</v>
      </c>
      <c r="N103" s="99">
        <v>0.24153846153846154</v>
      </c>
      <c r="O103" s="99">
        <v>0.58386411889596601</v>
      </c>
      <c r="P103" s="99">
        <v>0.41613588110403399</v>
      </c>
      <c r="Q103" s="112">
        <v>0.22198731501057081</v>
      </c>
      <c r="R103" s="112">
        <v>0.61190476190476195</v>
      </c>
      <c r="S103" s="112">
        <v>0.39047619047619048</v>
      </c>
      <c r="T103" s="99">
        <v>0.21439509954058192</v>
      </c>
      <c r="U103" s="99">
        <v>0.59523809523809523</v>
      </c>
      <c r="V103" s="99">
        <v>0.40476190476190477</v>
      </c>
    </row>
    <row r="104" spans="1:22" x14ac:dyDescent="0.25">
      <c r="A104" s="57" t="s">
        <v>31</v>
      </c>
      <c r="B104" s="85">
        <v>3.6051026067665005E-2</v>
      </c>
      <c r="C104" s="85">
        <v>0.15384615384615385</v>
      </c>
      <c r="D104" s="78">
        <v>0.84615384615384615</v>
      </c>
      <c r="E104" s="77">
        <v>3.301384451544196E-2</v>
      </c>
      <c r="F104" s="77">
        <v>0.19354838709677419</v>
      </c>
      <c r="G104" s="77">
        <v>0.80645161290322576</v>
      </c>
      <c r="H104" s="129">
        <v>3.0574591460200317E-2</v>
      </c>
      <c r="I104" s="129">
        <v>0.18965517241379309</v>
      </c>
      <c r="J104" s="129">
        <v>0.81034482758620685</v>
      </c>
      <c r="K104" s="130">
        <v>2.9503105590062112E-2</v>
      </c>
      <c r="L104" s="130">
        <v>0.14035087719298245</v>
      </c>
      <c r="M104" s="130">
        <v>0.85964912280701755</v>
      </c>
      <c r="N104" s="129">
        <v>3.1794871794871796E-2</v>
      </c>
      <c r="O104" s="129">
        <v>0.17741935483870969</v>
      </c>
      <c r="P104" s="129">
        <v>0.83870967741935487</v>
      </c>
      <c r="Q104" s="130">
        <v>3.382663847780127E-2</v>
      </c>
      <c r="R104" s="130">
        <v>0.171875</v>
      </c>
      <c r="S104" s="130">
        <v>0.828125</v>
      </c>
      <c r="T104" s="129">
        <v>2.8075548749361919E-2</v>
      </c>
      <c r="U104" s="129">
        <v>0.18181818181818182</v>
      </c>
      <c r="V104" s="129">
        <v>0.81818181818181823</v>
      </c>
    </row>
    <row r="105" spans="1:22" x14ac:dyDescent="0.25">
      <c r="A105" s="51" t="s">
        <v>32</v>
      </c>
      <c r="B105" s="84">
        <v>0.11480865224625623</v>
      </c>
      <c r="C105" s="84">
        <v>9.6618357487922704E-2</v>
      </c>
      <c r="D105" s="48">
        <v>0.90338164251207731</v>
      </c>
      <c r="E105" s="44">
        <v>0.1080937167199148</v>
      </c>
      <c r="F105" s="44">
        <v>0.12315270935960591</v>
      </c>
      <c r="G105" s="44">
        <v>0.87684729064039413</v>
      </c>
      <c r="H105" s="99">
        <v>0.10964681075382182</v>
      </c>
      <c r="I105" s="99">
        <v>0.11538461538461539</v>
      </c>
      <c r="J105" s="99">
        <v>0.88461538461538458</v>
      </c>
      <c r="K105" s="112">
        <v>0.11076604554865424</v>
      </c>
      <c r="L105" s="112">
        <v>0.10280373831775701</v>
      </c>
      <c r="M105" s="112">
        <v>0.89719626168224298</v>
      </c>
      <c r="N105" s="99">
        <v>0.10564102564102563</v>
      </c>
      <c r="O105" s="99">
        <v>8.2524271844660199E-2</v>
      </c>
      <c r="P105" s="99">
        <v>0.91747572815533984</v>
      </c>
      <c r="Q105" s="112">
        <v>0.10306553911205074</v>
      </c>
      <c r="R105" s="112">
        <v>7.179487179487179E-2</v>
      </c>
      <c r="S105" s="112">
        <v>0.92820512820512824</v>
      </c>
      <c r="T105" s="99">
        <v>0.10617662072485962</v>
      </c>
      <c r="U105" s="99">
        <v>8.1730769230769232E-2</v>
      </c>
      <c r="V105" s="99">
        <v>0.91826923076923073</v>
      </c>
    </row>
    <row r="106" spans="1:22" x14ac:dyDescent="0.25">
      <c r="A106" s="51" t="s">
        <v>44</v>
      </c>
      <c r="B106" s="84">
        <v>5.0471436494731001E-2</v>
      </c>
      <c r="C106" s="84">
        <v>8.7912087912087919E-2</v>
      </c>
      <c r="D106" s="48">
        <v>0.91208791208791207</v>
      </c>
      <c r="E106" s="44">
        <v>4.9520766773162937E-2</v>
      </c>
      <c r="F106" s="44">
        <v>8.6021505376344093E-2</v>
      </c>
      <c r="G106" s="44">
        <v>0.92473118279569888</v>
      </c>
      <c r="H106" s="99">
        <v>5.4823405376910911E-2</v>
      </c>
      <c r="I106" s="99">
        <v>9.6153846153846159E-2</v>
      </c>
      <c r="J106" s="99">
        <v>0.90384615384615385</v>
      </c>
      <c r="K106" s="112">
        <v>5.227743271221532E-2</v>
      </c>
      <c r="L106" s="112">
        <v>9.9009900990099015E-2</v>
      </c>
      <c r="M106" s="112">
        <v>0.91089108910891092</v>
      </c>
      <c r="N106" s="99">
        <v>5.2820512820512817E-2</v>
      </c>
      <c r="O106" s="99">
        <v>7.7669902912621352E-2</v>
      </c>
      <c r="P106" s="99">
        <v>0.93203883495145634</v>
      </c>
      <c r="Q106" s="112">
        <v>5.1797040169133189E-2</v>
      </c>
      <c r="R106" s="112">
        <v>9.1836734693877556E-2</v>
      </c>
      <c r="S106" s="112">
        <v>0.89795918367346939</v>
      </c>
      <c r="T106" s="99">
        <v>4.4920877998979071E-2</v>
      </c>
      <c r="U106" s="99">
        <v>0.11363636363636363</v>
      </c>
      <c r="V106" s="99">
        <v>0.88636363636363635</v>
      </c>
    </row>
    <row r="107" spans="1:22" x14ac:dyDescent="0.25">
      <c r="A107" s="51" t="s">
        <v>45</v>
      </c>
      <c r="B107" s="84">
        <v>7.4320576816417086E-2</v>
      </c>
      <c r="C107" s="84">
        <v>0.47014925373134331</v>
      </c>
      <c r="D107" s="48">
        <v>0.52985074626865669</v>
      </c>
      <c r="E107" s="44">
        <v>7.1352502662406822E-2</v>
      </c>
      <c r="F107" s="44">
        <v>0.43283582089552236</v>
      </c>
      <c r="G107" s="44">
        <v>0.55970149253731338</v>
      </c>
      <c r="H107" s="99">
        <v>6.4839219820769636E-2</v>
      </c>
      <c r="I107" s="99">
        <v>0.43089430894308944</v>
      </c>
      <c r="J107" s="99">
        <v>0.56910569105691056</v>
      </c>
      <c r="K107" s="112">
        <v>5.848861283643892E-2</v>
      </c>
      <c r="L107" s="112">
        <v>0.38053097345132741</v>
      </c>
      <c r="M107" s="112">
        <v>0.61946902654867253</v>
      </c>
      <c r="N107" s="99">
        <v>5.8461538461538461E-2</v>
      </c>
      <c r="O107" s="99">
        <v>0.40350877192982454</v>
      </c>
      <c r="P107" s="99">
        <v>0.59649122807017541</v>
      </c>
      <c r="Q107" s="112">
        <v>5.8139534883720929E-2</v>
      </c>
      <c r="R107" s="112">
        <v>0.43636363636363634</v>
      </c>
      <c r="S107" s="112">
        <v>0.5636363636363636</v>
      </c>
      <c r="T107" s="99">
        <v>5.717202654415518E-2</v>
      </c>
      <c r="U107" s="99">
        <v>0.39285714285714285</v>
      </c>
      <c r="V107" s="99">
        <v>0.6160714285714286</v>
      </c>
    </row>
    <row r="108" spans="1:22" x14ac:dyDescent="0.25">
      <c r="A108" s="62" t="s">
        <v>109</v>
      </c>
      <c r="B108" s="82"/>
      <c r="C108" s="82">
        <v>0.47254575707154745</v>
      </c>
      <c r="D108" s="82">
        <v>0.52745424292845255</v>
      </c>
      <c r="E108" s="86"/>
      <c r="F108" s="81">
        <v>0.46698615548455802</v>
      </c>
      <c r="G108" s="81">
        <v>0.53301384451544198</v>
      </c>
      <c r="H108" s="99"/>
      <c r="I108" s="131">
        <v>0.46336320506062201</v>
      </c>
      <c r="J108" s="131">
        <v>0.53663679493937799</v>
      </c>
      <c r="K108" s="112"/>
      <c r="L108" s="132">
        <v>0.458592132505176</v>
      </c>
      <c r="M108" s="132">
        <v>0.54140786749482406</v>
      </c>
      <c r="N108" s="131"/>
      <c r="O108" s="131">
        <v>0.45948717948717949</v>
      </c>
      <c r="P108" s="131">
        <v>0.54051282051282046</v>
      </c>
      <c r="Q108" s="132"/>
      <c r="R108" s="132">
        <v>0.45824524312896409</v>
      </c>
      <c r="S108" s="132">
        <v>0.54175475687103591</v>
      </c>
      <c r="T108" s="131"/>
      <c r="U108" s="131">
        <v>0.45890760592138846</v>
      </c>
      <c r="V108" s="131">
        <v>0.54109239407861154</v>
      </c>
    </row>
  </sheetData>
  <mergeCells count="54">
    <mergeCell ref="W5:Y6"/>
    <mergeCell ref="W20:Y21"/>
    <mergeCell ref="W35:Y36"/>
    <mergeCell ref="N96:P97"/>
    <mergeCell ref="Q96:S97"/>
    <mergeCell ref="T68:V69"/>
    <mergeCell ref="T82:V83"/>
    <mergeCell ref="T96:V97"/>
    <mergeCell ref="A96:A97"/>
    <mergeCell ref="B96:D97"/>
    <mergeCell ref="E96:G97"/>
    <mergeCell ref="H96:J97"/>
    <mergeCell ref="K96:M97"/>
    <mergeCell ref="N68:P69"/>
    <mergeCell ref="Q68:S69"/>
    <mergeCell ref="A82:A83"/>
    <mergeCell ref="B82:D83"/>
    <mergeCell ref="E82:G83"/>
    <mergeCell ref="H82:J83"/>
    <mergeCell ref="K82:M83"/>
    <mergeCell ref="N82:P83"/>
    <mergeCell ref="Q82:S83"/>
    <mergeCell ref="A68:A69"/>
    <mergeCell ref="B68:D69"/>
    <mergeCell ref="E68:G69"/>
    <mergeCell ref="H68:J69"/>
    <mergeCell ref="K68:M69"/>
    <mergeCell ref="T20:V21"/>
    <mergeCell ref="A35:A36"/>
    <mergeCell ref="B35:D36"/>
    <mergeCell ref="E35:G36"/>
    <mergeCell ref="H35:J36"/>
    <mergeCell ref="K35:M36"/>
    <mergeCell ref="N35:P36"/>
    <mergeCell ref="Q35:S36"/>
    <mergeCell ref="T35:V36"/>
    <mergeCell ref="E20:G21"/>
    <mergeCell ref="H20:J21"/>
    <mergeCell ref="K20:M21"/>
    <mergeCell ref="N20:P21"/>
    <mergeCell ref="Q20:S21"/>
    <mergeCell ref="A20:A21"/>
    <mergeCell ref="B20:D21"/>
    <mergeCell ref="Q5:S6"/>
    <mergeCell ref="T5:V6"/>
    <mergeCell ref="E8:G16"/>
    <mergeCell ref="A1:N1"/>
    <mergeCell ref="A2:I2"/>
    <mergeCell ref="A5:A6"/>
    <mergeCell ref="B5:D6"/>
    <mergeCell ref="E5:G6"/>
    <mergeCell ref="H5:J6"/>
    <mergeCell ref="K5:M6"/>
    <mergeCell ref="N5:P6"/>
  </mergeCells>
  <pageMargins left="0.70866141732283472" right="0.70866141732283472" top="0.74803149606299213" bottom="0.74803149606299213" header="0.31496062992125984" footer="0.31496062992125984"/>
  <pageSetup paperSize="9" scale="49" fitToHeight="0" pageOrder="overThenDown" orientation="landscape" r:id="rId1"/>
  <headerFooter>
    <oddHeader>&amp;L&amp;A&amp;C&amp;G&amp;R&amp;P af &amp;N</oddHeader>
    <oddFooter>&amp;C&amp;"-,Bold"https://www.sjalfbaerni.is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B0281F3EE3054FA91BEB265A868BA4" ma:contentTypeVersion="12" ma:contentTypeDescription="Create a new document." ma:contentTypeScope="" ma:versionID="45b0f0a22a401048f8646a4985a95d7f">
  <xsd:schema xmlns:xsd="http://www.w3.org/2001/XMLSchema" xmlns:xs="http://www.w3.org/2001/XMLSchema" xmlns:p="http://schemas.microsoft.com/office/2006/metadata/properties" xmlns:ns3="cc6de4c7-8526-40f9-9830-bae303b4b474" xmlns:ns4="60700310-1e95-4a2d-902b-55f378dec2fe" targetNamespace="http://schemas.microsoft.com/office/2006/metadata/properties" ma:root="true" ma:fieldsID="89e7c3514f90f96db1962bbbf1df25bb" ns3:_="" ns4:_="">
    <xsd:import namespace="cc6de4c7-8526-40f9-9830-bae303b4b474"/>
    <xsd:import namespace="60700310-1e95-4a2d-902b-55f378dec2f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Tags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de4c7-8526-40f9-9830-bae303b4b4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700310-1e95-4a2d-902b-55f378dec2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ECCB53-A842-4325-9AAD-B647182EE93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2482FB-7894-4078-ABB5-8F0F558ECAF3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60700310-1e95-4a2d-902b-55f378dec2fe"/>
    <ds:schemaRef ds:uri="http://schemas.microsoft.com/office/infopath/2007/PartnerControls"/>
    <ds:schemaRef ds:uri="http://www.w3.org/XML/1998/namespace"/>
    <ds:schemaRef ds:uri="cc6de4c7-8526-40f9-9830-bae303b4b474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75D7FF7-B8EB-4DED-A282-E5C44EEF01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6de4c7-8526-40f9-9830-bae303b4b474"/>
    <ds:schemaRef ds:uri="60700310-1e95-4a2d-902b-55f378dec2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Frumgögn Hagstofa</vt:lpstr>
      <vt:lpstr>Frumgögn LV&amp;Alcoa</vt:lpstr>
      <vt:lpstr>Úrvinnsla</vt:lpstr>
      <vt:lpstr>Birting</vt:lpstr>
      <vt:lpstr>Birting!Print_Titles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Arnar Úlfarsson</dc:creator>
  <cp:lastModifiedBy>Arnar Úlfarsson</cp:lastModifiedBy>
  <cp:lastPrinted>2022-04-12T17:42:00Z</cp:lastPrinted>
  <dcterms:created xsi:type="dcterms:W3CDTF">2020-02-07T14:51:12Z</dcterms:created>
  <dcterms:modified xsi:type="dcterms:W3CDTF">2022-04-12T17:44:49Z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0x01010055B0281F3EE3054FA91BEB265A868BA4</vt:lpwstr>
  </property>
</Properties>
</file>